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Default Extension="wmf" ContentType="image/x-wmf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Description" sheetId="5" r:id="rId1"/>
    <sheet name="Drainage Module" sheetId="4" r:id="rId2"/>
    <sheet name="water Balance" sheetId="1" r:id="rId3"/>
  </sheets>
  <definedNames>
    <definedName name="_xlnm.Database" localSheetId="1">'Drainage Module'!$C$5:$F$14</definedName>
    <definedName name="_xlnm.Database">'water Balance'!#REF!</definedName>
  </definedNames>
  <calcPr calcId="124519"/>
</workbook>
</file>

<file path=xl/calcChain.xml><?xml version="1.0" encoding="utf-8"?>
<calcChain xmlns="http://schemas.openxmlformats.org/spreadsheetml/2006/main">
  <c r="E30" i="1"/>
  <c r="E23"/>
  <c r="G26"/>
  <c r="G28" s="1"/>
  <c r="E26"/>
  <c r="E31" s="1"/>
  <c r="F26"/>
  <c r="F28" s="1"/>
  <c r="H26"/>
  <c r="F21"/>
  <c r="F30" s="1"/>
  <c r="G21"/>
  <c r="H21"/>
  <c r="H28" s="1"/>
  <c r="H31" s="1"/>
  <c r="I21"/>
  <c r="J21"/>
  <c r="K21"/>
  <c r="L21"/>
  <c r="M21"/>
  <c r="N21"/>
  <c r="O21"/>
  <c r="O30" s="1"/>
  <c r="P21"/>
  <c r="P30" s="1"/>
  <c r="E21"/>
  <c r="E28" s="1"/>
  <c r="Q14"/>
  <c r="Q13"/>
  <c r="Q15"/>
  <c r="Q16"/>
  <c r="Q12"/>
  <c r="F31" l="1"/>
  <c r="G29"/>
  <c r="G31"/>
  <c r="H29"/>
  <c r="E29"/>
  <c r="F29"/>
  <c r="F23" l="1"/>
  <c r="G23"/>
  <c r="H23"/>
  <c r="I23"/>
  <c r="J23"/>
  <c r="K23"/>
  <c r="L23"/>
  <c r="M23"/>
  <c r="N23"/>
  <c r="O23"/>
  <c r="P23"/>
  <c r="I26"/>
  <c r="J26"/>
  <c r="K26"/>
  <c r="L26"/>
  <c r="M26"/>
  <c r="N26"/>
  <c r="O26"/>
  <c r="P26"/>
  <c r="M28" l="1"/>
  <c r="M31" s="1"/>
  <c r="N28"/>
  <c r="J28"/>
  <c r="I28"/>
  <c r="I31" s="1"/>
  <c r="O29"/>
  <c r="O28"/>
  <c r="O31" s="1"/>
  <c r="K28"/>
  <c r="K31" s="1"/>
  <c r="P29"/>
  <c r="P28"/>
  <c r="P31" s="1"/>
  <c r="L28"/>
  <c r="L31" s="1"/>
  <c r="G50" i="4"/>
  <c r="K50"/>
  <c r="G49" s="1"/>
  <c r="G15"/>
  <c r="P38"/>
  <c r="M38" s="1"/>
  <c r="I22"/>
  <c r="I27"/>
  <c r="L27"/>
  <c r="K27"/>
  <c r="J27"/>
  <c r="X24"/>
  <c r="W26" s="1"/>
  <c r="N29" i="1" l="1"/>
  <c r="N31"/>
  <c r="J29"/>
  <c r="J31"/>
  <c r="L29"/>
  <c r="K29"/>
  <c r="I29"/>
  <c r="M29"/>
  <c r="G52" i="4"/>
  <c r="G30"/>
  <c r="L38"/>
  <c r="K38"/>
  <c r="J8"/>
  <c r="L13"/>
  <c r="L9"/>
  <c r="L8"/>
  <c r="K10"/>
  <c r="K9"/>
  <c r="K13"/>
  <c r="I8"/>
  <c r="I9"/>
  <c r="L11"/>
  <c r="J11"/>
  <c r="L10"/>
  <c r="I13"/>
  <c r="I10"/>
  <c r="W27"/>
  <c r="V29"/>
  <c r="P28" s="1"/>
  <c r="K11"/>
  <c r="N38"/>
  <c r="J13"/>
  <c r="Y29"/>
  <c r="K8"/>
  <c r="J9"/>
  <c r="J10"/>
  <c r="I11"/>
  <c r="J42" l="1"/>
  <c r="G39" s="1"/>
  <c r="V30"/>
  <c r="J7" l="1"/>
  <c r="I7"/>
  <c r="I12"/>
  <c r="J12"/>
  <c r="I14"/>
  <c r="K12"/>
  <c r="L14"/>
  <c r="J14"/>
  <c r="L7"/>
  <c r="K7"/>
  <c r="L12"/>
  <c r="K14"/>
</calcChain>
</file>

<file path=xl/sharedStrings.xml><?xml version="1.0" encoding="utf-8"?>
<sst xmlns="http://schemas.openxmlformats.org/spreadsheetml/2006/main" count="167" uniqueCount="133">
  <si>
    <t>Name</t>
  </si>
  <si>
    <t>Goli_CD1</t>
  </si>
  <si>
    <t>Goli_CD2</t>
  </si>
  <si>
    <t>Goli_CD3</t>
  </si>
  <si>
    <t>Goli_CD4</t>
  </si>
  <si>
    <t>Goli_CD5</t>
  </si>
  <si>
    <t>Goli_CD6</t>
  </si>
  <si>
    <t>Goli_CD7</t>
  </si>
  <si>
    <t>Goli_CD8</t>
  </si>
  <si>
    <t>SN</t>
  </si>
  <si>
    <t>Flow Length, m</t>
  </si>
  <si>
    <t>x-coord</t>
  </si>
  <si>
    <t>y-coord</t>
  </si>
  <si>
    <t>Area, km2</t>
  </si>
  <si>
    <t>Q</t>
  </si>
  <si>
    <t>CIA</t>
  </si>
  <si>
    <t>SCS-CN</t>
  </si>
  <si>
    <r>
      <t>Design Discharge (m</t>
    </r>
    <r>
      <rPr>
        <b/>
        <vertAlign val="superscript"/>
        <sz val="10"/>
        <color rgb="FF000000"/>
        <rFont val="Arial"/>
        <family val="2"/>
      </rPr>
      <t>3</t>
    </r>
    <r>
      <rPr>
        <b/>
        <sz val="10"/>
        <color rgb="FF000000"/>
        <rFont val="Arial"/>
        <family val="2"/>
      </rPr>
      <t>s</t>
    </r>
    <r>
      <rPr>
        <b/>
        <vertAlign val="superscript"/>
        <sz val="10"/>
        <color rgb="FF000000"/>
        <rFont val="Arial"/>
        <family val="2"/>
      </rPr>
      <t>-1</t>
    </r>
    <r>
      <rPr>
        <b/>
        <sz val="10"/>
        <color rgb="FF000000"/>
        <rFont val="Arial"/>
        <family val="2"/>
      </rPr>
      <t>) with  return period</t>
    </r>
  </si>
  <si>
    <t>Slope</t>
  </si>
  <si>
    <t>Slope Computation</t>
  </si>
  <si>
    <r>
      <t>C = C</t>
    </r>
    <r>
      <rPr>
        <vertAlign val="subscript"/>
        <sz val="11"/>
        <color theme="1"/>
        <rFont val="Arial"/>
        <family val="2"/>
      </rPr>
      <t xml:space="preserve">T </t>
    </r>
    <r>
      <rPr>
        <sz val="11"/>
        <color theme="1"/>
        <rFont val="Arial"/>
        <family val="2"/>
      </rPr>
      <t>+ C</t>
    </r>
    <r>
      <rPr>
        <vertAlign val="subscript"/>
        <sz val="11"/>
        <color theme="1"/>
        <rFont val="Arial"/>
        <family val="2"/>
      </rPr>
      <t xml:space="preserve">S </t>
    </r>
    <r>
      <rPr>
        <sz val="11"/>
        <color theme="1"/>
        <rFont val="Arial"/>
        <family val="2"/>
      </rPr>
      <t>+ C</t>
    </r>
    <r>
      <rPr>
        <vertAlign val="subscript"/>
        <sz val="11"/>
        <color theme="1"/>
        <rFont val="Arial"/>
        <family val="2"/>
      </rPr>
      <t>V</t>
    </r>
  </si>
  <si>
    <t>Cv</t>
  </si>
  <si>
    <t>Cs</t>
  </si>
  <si>
    <r>
      <t>C</t>
    </r>
    <r>
      <rPr>
        <vertAlign val="subscript"/>
        <sz val="10"/>
        <color theme="1"/>
        <rFont val="Calibri"/>
        <family val="2"/>
        <scheme val="minor"/>
      </rPr>
      <t>T</t>
    </r>
  </si>
  <si>
    <t>C</t>
  </si>
  <si>
    <t>I</t>
  </si>
  <si>
    <t>RP</t>
  </si>
  <si>
    <t>mm</t>
  </si>
  <si>
    <t>m3/s</t>
  </si>
  <si>
    <t>10 minutes rainfall intensity, P mm</t>
  </si>
  <si>
    <t>D</t>
  </si>
  <si>
    <t>minute</t>
  </si>
  <si>
    <t>Design Discharge for Cross Drainage</t>
  </si>
  <si>
    <t>SCS</t>
  </si>
  <si>
    <t>Formula used</t>
  </si>
  <si>
    <t>Minute</t>
  </si>
  <si>
    <t>B</t>
  </si>
  <si>
    <t>Soil Groups</t>
  </si>
  <si>
    <t>A</t>
  </si>
  <si>
    <r>
      <t>q = 0.21 + 0.00744P</t>
    </r>
    <r>
      <rPr>
        <vertAlign val="subscript"/>
        <sz val="11"/>
        <color theme="1"/>
        <rFont val="Arial"/>
        <family val="2"/>
      </rPr>
      <t>24</t>
    </r>
  </si>
  <si>
    <t>5Year</t>
  </si>
  <si>
    <t>Minutes</t>
  </si>
  <si>
    <t>l/s/ha</t>
  </si>
  <si>
    <t>Cypress Creek equation (NRCS, 1998)</t>
  </si>
  <si>
    <t>Q=qA^5/6</t>
  </si>
  <si>
    <t>m3/s/km2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</si>
  <si>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</si>
  <si>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</si>
  <si>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</si>
  <si>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</si>
  <si>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</si>
  <si>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</si>
  <si>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</si>
  <si>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</si>
  <si>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</si>
  <si>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</si>
  <si>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</si>
  <si>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</si>
  <si>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r>
      <t>Q</t>
    </r>
    <r>
      <rPr>
        <vertAlign val="subscript"/>
        <sz val="16"/>
        <color theme="1"/>
        <rFont val="Calibri"/>
        <family val="2"/>
        <scheme val="minor"/>
      </rPr>
      <t>DS</t>
    </r>
    <r>
      <rPr>
        <sz val="16"/>
        <color theme="1"/>
        <rFont val="Calibri"/>
        <family val="2"/>
        <scheme val="minor"/>
      </rPr>
      <t xml:space="preserve"> = Q </t>
    </r>
    <r>
      <rPr>
        <vertAlign val="subscript"/>
        <sz val="16"/>
        <color theme="1"/>
        <rFont val="Calibri"/>
        <family val="2"/>
        <scheme val="minor"/>
      </rPr>
      <t xml:space="preserve">T </t>
    </r>
    <r>
      <rPr>
        <sz val="16"/>
        <color theme="1"/>
        <rFont val="Calibri"/>
        <family val="2"/>
        <scheme val="minor"/>
      </rPr>
      <t xml:space="preserve">- Q </t>
    </r>
    <r>
      <rPr>
        <vertAlign val="subscript"/>
        <sz val="16"/>
        <color theme="1"/>
        <rFont val="Calibri"/>
        <family val="2"/>
        <scheme val="minor"/>
      </rPr>
      <t>Div.</t>
    </r>
    <r>
      <rPr>
        <sz val="16"/>
        <color theme="1"/>
        <rFont val="Calibri"/>
        <family val="2"/>
        <scheme val="minor"/>
      </rPr>
      <t xml:space="preserve"> + Q </t>
    </r>
    <r>
      <rPr>
        <vertAlign val="subscript"/>
        <sz val="16"/>
        <color theme="1"/>
        <rFont val="Calibri"/>
        <family val="2"/>
        <scheme val="minor"/>
      </rPr>
      <t>Return flow</t>
    </r>
  </si>
  <si>
    <t>L</t>
  </si>
  <si>
    <t>H</t>
  </si>
  <si>
    <t>Field Drainage Analysis</t>
  </si>
  <si>
    <t>Cross Drainage Analysis</t>
  </si>
  <si>
    <t>Cultivated with Lightly stocked woody plants</t>
  </si>
  <si>
    <t>Duration</t>
  </si>
  <si>
    <t>Read from table</t>
  </si>
  <si>
    <t>Rational Method</t>
  </si>
  <si>
    <t>Tc</t>
  </si>
  <si>
    <t>Q=0.278 CIA</t>
  </si>
  <si>
    <t>:. This amount of excess runoff (effective rainfall) considered as a return flow to the river</t>
  </si>
  <si>
    <t>l/s</t>
  </si>
  <si>
    <t>Conversion    1</t>
  </si>
  <si>
    <r>
      <t>m</t>
    </r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>/s/km</t>
    </r>
    <r>
      <rPr>
        <vertAlign val="superscript"/>
        <sz val="9"/>
        <color theme="1"/>
        <rFont val="Calibri"/>
        <family val="2"/>
        <scheme val="minor"/>
      </rPr>
      <t>2</t>
    </r>
  </si>
  <si>
    <t>total rainfall excess is divided by the length of the storm period in days (Ochs and Bishay,1992)</t>
  </si>
  <si>
    <t>Months</t>
  </si>
  <si>
    <t>Monthly Dependable flow, l/s</t>
  </si>
  <si>
    <t>Minum</t>
  </si>
  <si>
    <r>
      <t>where, Q</t>
    </r>
    <r>
      <rPr>
        <vertAlign val="subscript"/>
        <sz val="11"/>
        <color theme="1"/>
        <rFont val="Calibri"/>
        <family val="2"/>
        <scheme val="minor"/>
      </rPr>
      <t>DS</t>
    </r>
    <r>
      <rPr>
        <sz val="11"/>
        <color theme="1"/>
        <rFont val="Calibri"/>
        <family val="2"/>
        <scheme val="minor"/>
      </rPr>
      <t xml:space="preserve"> downstream flow, Q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is total flow, Q</t>
    </r>
    <r>
      <rPr>
        <vertAlign val="subscript"/>
        <sz val="11"/>
        <color theme="1"/>
        <rFont val="Calibri"/>
        <family val="2"/>
        <scheme val="minor"/>
      </rPr>
      <t>Div.</t>
    </r>
    <r>
      <rPr>
        <sz val="11"/>
        <color theme="1"/>
        <rFont val="Calibri"/>
        <family val="2"/>
        <scheme val="minor"/>
      </rPr>
      <t xml:space="preserve"> is flow at diversion and Q</t>
    </r>
    <r>
      <rPr>
        <vertAlign val="subscript"/>
        <sz val="11"/>
        <color theme="1"/>
        <rFont val="Calibri"/>
        <family val="2"/>
        <scheme val="minor"/>
      </rPr>
      <t xml:space="preserve"> Return flow</t>
    </r>
    <r>
      <rPr>
        <sz val="11"/>
        <color theme="1"/>
        <rFont val="Calibri"/>
        <family val="2"/>
        <scheme val="minor"/>
      </rPr>
      <t xml:space="preserve"> is flows back to the river</t>
    </r>
  </si>
  <si>
    <t>Note: In this template the 70% dependable flow diverted at headwork site to the Irrigation land (command area) was used</t>
  </si>
  <si>
    <t>Domestic and non-domestic uses (l/h/c)</t>
  </si>
  <si>
    <t>Animal watering (l/h/c)</t>
  </si>
  <si>
    <t xml:space="preserve">Irrigation uses (l/s/ha), etc. </t>
  </si>
  <si>
    <t xml:space="preserve">Different US users: </t>
  </si>
  <si>
    <t xml:space="preserve">Different DS users: </t>
  </si>
  <si>
    <t>. Total amount of water consumption by livestok</t>
  </si>
  <si>
    <t>. Total amount of water consumption by irrigation if any</t>
  </si>
  <si>
    <t>Need to quantify:</t>
  </si>
  <si>
    <t>Diversion site</t>
  </si>
  <si>
    <t>Environmental flow</t>
  </si>
  <si>
    <r>
      <t>Q</t>
    </r>
    <r>
      <rPr>
        <vertAlign val="subscript"/>
        <sz val="11"/>
        <color theme="1"/>
        <rFont val="Calibri"/>
        <family val="2"/>
        <scheme val="minor"/>
      </rPr>
      <t>Div.</t>
    </r>
  </si>
  <si>
    <r>
      <t>Q</t>
    </r>
    <r>
      <rPr>
        <vertAlign val="subscript"/>
        <sz val="11"/>
        <color theme="1"/>
        <rFont val="Calibri"/>
        <family val="2"/>
        <scheme val="minor"/>
      </rPr>
      <t>R. flow</t>
    </r>
  </si>
  <si>
    <t>Refer #1 water balance</t>
  </si>
  <si>
    <t>Water Balance Analysis</t>
  </si>
  <si>
    <t>Key Note:</t>
  </si>
  <si>
    <t>. The project owner shall avail some of these input datasets</t>
  </si>
  <si>
    <t>#2</t>
  </si>
  <si>
    <t>#1</t>
  </si>
  <si>
    <t>. Total amount of household water consumption</t>
  </si>
  <si>
    <r>
      <t>if area rainges from 0.5 to 65 Km</t>
    </r>
    <r>
      <rPr>
        <vertAlign val="superscript"/>
        <sz val="12"/>
        <color rgb="FFFF0000"/>
        <rFont val="Calibri"/>
        <family val="2"/>
        <scheme val="minor"/>
      </rPr>
      <t>2</t>
    </r>
    <r>
      <rPr>
        <sz val="12"/>
        <color rgb="FFFF0000"/>
        <rFont val="Calibri"/>
        <family val="2"/>
        <scheme val="minor"/>
      </rPr>
      <t xml:space="preserve"> </t>
    </r>
  </si>
  <si>
    <r>
      <t>if area less than 0.5km</t>
    </r>
    <r>
      <rPr>
        <vertAlign val="superscript"/>
        <sz val="12"/>
        <color rgb="FF0070C0"/>
        <rFont val="Calibri"/>
        <family val="2"/>
        <scheme val="minor"/>
      </rPr>
      <t>2</t>
    </r>
  </si>
  <si>
    <t xml:space="preserve">Contact for More Info and Comments </t>
  </si>
  <si>
    <t>GIRDC, 2018</t>
  </si>
  <si>
    <t>NB: Do not Erase linked Formulas</t>
  </si>
  <si>
    <r>
      <t xml:space="preserve">Addis Ababa, </t>
    </r>
    <r>
      <rPr>
        <b/>
        <sz val="11"/>
        <color rgb="FF0070C0"/>
        <rFont val="Arial"/>
        <family val="2"/>
      </rPr>
      <t>Ethiopia</t>
    </r>
  </si>
  <si>
    <t>Description of Tools and Processes</t>
  </si>
  <si>
    <r>
      <rPr>
        <b/>
        <sz val="11"/>
        <color rgb="FF0070C0"/>
        <rFont val="Arial"/>
        <family val="2"/>
      </rPr>
      <t>Drainage Module (DM)</t>
    </r>
    <r>
      <rPr>
        <sz val="11"/>
        <rFont val="Arial"/>
        <family val="2"/>
      </rPr>
      <t>: Calculation of  cross drainage and field drainage modules</t>
    </r>
  </si>
  <si>
    <r>
      <rPr>
        <b/>
        <sz val="11"/>
        <color rgb="FF0070C0"/>
        <rFont val="Arial"/>
        <family val="2"/>
      </rPr>
      <t>Water Balance (WB)</t>
    </r>
    <r>
      <rPr>
        <sz val="11"/>
        <rFont val="Arial"/>
        <family val="2"/>
      </rPr>
      <t>: As explained in SSI Guide Line, option is provided to enable consider the water resources availability and water resources for a specific study area.  Note: in the WB analysis, upstream and downstream water abstruction shall be taken into consideration preservining the environment and future development aspects.</t>
    </r>
  </si>
  <si>
    <r>
      <rPr>
        <b/>
        <sz val="11"/>
        <rFont val="Arial"/>
        <family val="2"/>
      </rPr>
      <t>Description</t>
    </r>
    <r>
      <rPr>
        <sz val="11"/>
        <rFont val="Arial"/>
        <family val="2"/>
      </rPr>
      <t>: The analysis is provided in 2 wroksheets for computing the Drainage Module (cross drainage module and Field drainage module) and the water balances</t>
    </r>
  </si>
  <si>
    <t>Exce. (%)</t>
  </si>
  <si>
    <t>NB: Monthly low flows are computed with probabilty exceedence</t>
  </si>
  <si>
    <t>Size of command area = xxha</t>
  </si>
  <si>
    <t>Irrigation Duty with 46-48% overall efficiency</t>
  </si>
  <si>
    <t xml:space="preserve">  NB: No return flow during Nov to Feb months</t>
  </si>
  <si>
    <r>
      <t xml:space="preserve">  NB: </t>
    </r>
    <r>
      <rPr>
        <b/>
        <u/>
        <sz val="11"/>
        <color rgb="FF00B050"/>
        <rFont val="Calibri"/>
        <family val="2"/>
        <scheme val="minor"/>
      </rPr>
      <t>Environmental flow</t>
    </r>
    <r>
      <rPr>
        <b/>
        <sz val="11"/>
        <color rgb="FF00B050"/>
        <rFont val="Calibri"/>
        <family val="2"/>
        <scheme val="minor"/>
      </rPr>
      <t xml:space="preserve"> is always be available for the downstream </t>
    </r>
  </si>
  <si>
    <t xml:space="preserve">  Balance Check</t>
  </si>
  <si>
    <t>Downstream flow</t>
  </si>
  <si>
    <r>
      <t xml:space="preserve">  Monthly total </t>
    </r>
    <r>
      <rPr>
        <b/>
        <u/>
        <sz val="11"/>
        <color rgb="FF0070C0"/>
        <rFont val="Calibri"/>
        <family val="2"/>
        <scheme val="minor"/>
      </rPr>
      <t>Net Flow</t>
    </r>
    <r>
      <rPr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Downstream</t>
    </r>
    <r>
      <rPr>
        <sz val="11"/>
        <color rgb="FF0070C0"/>
        <rFont val="Calibri"/>
        <family val="2"/>
        <scheme val="minor"/>
      </rPr>
      <t xml:space="preserve"> of the project site</t>
    </r>
  </si>
  <si>
    <r>
      <t xml:space="preserve">  Monthly total </t>
    </r>
    <r>
      <rPr>
        <b/>
        <u/>
        <sz val="11"/>
        <color rgb="FF0070C0"/>
        <rFont val="Calibri"/>
        <family val="2"/>
        <scheme val="minor"/>
      </rPr>
      <t>Inflow</t>
    </r>
    <r>
      <rPr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Upstream</t>
    </r>
    <r>
      <rPr>
        <sz val="11"/>
        <color rgb="FF0070C0"/>
        <rFont val="Calibri"/>
        <family val="2"/>
        <scheme val="minor"/>
      </rPr>
      <t xml:space="preserve"> of the project site</t>
    </r>
  </si>
  <si>
    <t xml:space="preserve">  Dependable flow (e.g., 80%)</t>
  </si>
  <si>
    <t xml:space="preserve">  Water allocated can be obtained from the Agronomist (irrigation efficiency, 48-60%)</t>
  </si>
  <si>
    <t xml:space="preserve">  Return flow to River</t>
  </si>
  <si>
    <t xml:space="preserve">  Total flow at headwork</t>
  </si>
  <si>
    <t xml:space="preserve"> Diverted flow at headwork</t>
  </si>
  <si>
    <t xml:space="preserve"> Allocated water for Irrigation</t>
  </si>
  <si>
    <t>Environmental Deficit</t>
  </si>
  <si>
    <t>Irrigation Deficit</t>
  </si>
  <si>
    <r>
      <rPr>
        <b/>
        <sz val="14"/>
        <color theme="1"/>
        <rFont val="Calibri"/>
        <family val="2"/>
        <scheme val="minor"/>
      </rPr>
      <t>NB</t>
    </r>
    <r>
      <rPr>
        <sz val="14"/>
        <color theme="1"/>
        <rFont val="Calibri"/>
        <family val="2"/>
        <scheme val="minor"/>
      </rPr>
      <t xml:space="preserve">: Water Balance (WB) Analysis for </t>
    </r>
    <r>
      <rPr>
        <b/>
        <u/>
        <sz val="14"/>
        <color rgb="FF00B050"/>
        <rFont val="Calibri"/>
        <family val="2"/>
        <scheme val="minor"/>
      </rPr>
      <t>Hide SSiP</t>
    </r>
    <r>
      <rPr>
        <sz val="14"/>
        <color theme="1"/>
        <rFont val="Calibri"/>
        <family val="2"/>
        <scheme val="minor"/>
      </rPr>
      <t xml:space="preserve"> Command Area </t>
    </r>
  </si>
  <si>
    <r>
      <t xml:space="preserve">Project Water Balance: </t>
    </r>
    <r>
      <rPr>
        <sz val="14"/>
        <color theme="1"/>
        <rFont val="Calibri"/>
        <family val="2"/>
        <scheme val="minor"/>
      </rPr>
      <t>water balance at Headwork or Diversion site</t>
    </r>
  </si>
  <si>
    <r>
      <t xml:space="preserve">Overall  Water Balance: </t>
    </r>
    <r>
      <rPr>
        <sz val="14"/>
        <color theme="1"/>
        <rFont val="Calibri"/>
        <family val="2"/>
        <scheme val="minor"/>
      </rPr>
      <t xml:space="preserve">considering the </t>
    </r>
    <r>
      <rPr>
        <b/>
        <sz val="14"/>
        <color rgb="FF0070C0"/>
        <rFont val="Calibri"/>
        <family val="2"/>
        <scheme val="minor"/>
      </rPr>
      <t>Upstream &lt;</t>
    </r>
    <r>
      <rPr>
        <b/>
        <sz val="14"/>
        <color theme="9" tint="-0.249977111117893"/>
        <rFont val="Calibri"/>
        <family val="2"/>
        <scheme val="minor"/>
      </rPr>
      <t>Current SSIP</t>
    </r>
    <r>
      <rPr>
        <b/>
        <sz val="14"/>
        <color rgb="FF0070C0"/>
        <rFont val="Calibri"/>
        <family val="2"/>
        <scheme val="minor"/>
      </rPr>
      <t>&gt; Downstream</t>
    </r>
    <r>
      <rPr>
        <sz val="14"/>
        <color theme="1"/>
        <rFont val="Calibri"/>
        <family val="2"/>
        <scheme val="minor"/>
      </rPr>
      <t xml:space="preserve"> water abstraction</t>
    </r>
  </si>
  <si>
    <r>
      <rPr>
        <b/>
        <sz val="14"/>
        <color theme="1"/>
        <rFont val="Calibri"/>
        <family val="2"/>
        <scheme val="minor"/>
      </rPr>
      <t>NB</t>
    </r>
    <r>
      <rPr>
        <sz val="14"/>
        <color theme="1"/>
        <rFont val="Calibri"/>
        <family val="2"/>
        <scheme val="minor"/>
      </rPr>
      <t xml:space="preserve">: Drainage Module analysis for </t>
    </r>
    <r>
      <rPr>
        <b/>
        <u/>
        <sz val="14"/>
        <color rgb="FF00B050"/>
        <rFont val="Calibri"/>
        <family val="2"/>
        <scheme val="minor"/>
      </rPr>
      <t>Goli SSiP</t>
    </r>
    <r>
      <rPr>
        <sz val="14"/>
        <color theme="1"/>
        <rFont val="Calibri"/>
        <family val="2"/>
        <scheme val="minor"/>
      </rPr>
      <t xml:space="preserve"> at Command Area</t>
    </r>
  </si>
  <si>
    <t xml:space="preserve">  If the irrigation requirement fulfills, then the environmental flow is in deficit</t>
  </si>
  <si>
    <t>. In the overall water balance analysis, all the necessary data both from upstream and downstream should be collected and be on hand.</t>
  </si>
  <si>
    <t>. The nalysis shall consider the existin/ current condition and future developments</t>
  </si>
</sst>
</file>

<file path=xl/styles.xml><?xml version="1.0" encoding="utf-8"?>
<styleSheet xmlns="http://schemas.openxmlformats.org/spreadsheetml/2006/main">
  <numFmts count="5">
    <numFmt numFmtId="164" formatCode="0.00000000000"/>
    <numFmt numFmtId="165" formatCode="0.0"/>
    <numFmt numFmtId="166" formatCode="0.000"/>
    <numFmt numFmtId="167" formatCode="0.0%"/>
    <numFmt numFmtId="168" formatCode="0.0000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vertAlign val="subscript"/>
      <sz val="11"/>
      <color theme="1"/>
      <name val="Arial"/>
      <family val="2"/>
    </font>
    <font>
      <vertAlign val="subscript"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StempelGaramondLTStd-Roman"/>
    </font>
    <font>
      <sz val="10"/>
      <color rgb="FF000000"/>
      <name val="StempelGaramondLTStd-Roman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perscript"/>
      <sz val="12"/>
      <color rgb="FF0070C0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perscript"/>
      <sz val="12"/>
      <color rgb="FFFF0000"/>
      <name val="Calibri"/>
      <family val="2"/>
      <scheme val="minor"/>
    </font>
    <font>
      <sz val="12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Arial"/>
      <family val="2"/>
    </font>
    <font>
      <sz val="11"/>
      <color rgb="FF00B050"/>
      <name val="Arial Rounded MT Bold"/>
      <family val="2"/>
    </font>
    <font>
      <sz val="11"/>
      <color rgb="FF0070C0"/>
      <name val="Arial"/>
      <family val="2"/>
    </font>
    <font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2"/>
      <color rgb="FF0070C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70C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10"/>
      <color theme="9" tint="-0.249977111117893"/>
      <name val="Arial"/>
      <family val="2"/>
    </font>
    <font>
      <b/>
      <u/>
      <sz val="14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</cellStyleXfs>
  <cellXfs count="204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14" xfId="0" applyBorder="1"/>
    <xf numFmtId="0" fontId="0" fillId="0" borderId="17" xfId="0" applyBorder="1"/>
    <xf numFmtId="1" fontId="19" fillId="0" borderId="0" xfId="0" applyNumberFormat="1" applyFont="1"/>
    <xf numFmtId="164" fontId="19" fillId="0" borderId="0" xfId="0" applyNumberFormat="1" applyFont="1"/>
    <xf numFmtId="0" fontId="19" fillId="0" borderId="0" xfId="0" applyFont="1"/>
    <xf numFmtId="164" fontId="19" fillId="0" borderId="10" xfId="0" applyNumberFormat="1" applyFont="1" applyBorder="1"/>
    <xf numFmtId="0" fontId="0" fillId="0" borderId="12" xfId="0" applyBorder="1"/>
    <xf numFmtId="164" fontId="19" fillId="0" borderId="13" xfId="0" applyNumberFormat="1" applyFont="1" applyBorder="1"/>
    <xf numFmtId="0" fontId="19" fillId="0" borderId="13" xfId="0" applyFont="1" applyBorder="1"/>
    <xf numFmtId="0" fontId="19" fillId="0" borderId="14" xfId="0" applyFont="1" applyBorder="1"/>
    <xf numFmtId="1" fontId="16" fillId="0" borderId="0" xfId="0" applyNumberFormat="1" applyFont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14" fillId="0" borderId="0" xfId="0" applyFont="1" applyBorder="1"/>
    <xf numFmtId="166" fontId="0" fillId="0" borderId="0" xfId="0" applyNumberFormat="1" applyBorder="1"/>
    <xf numFmtId="0" fontId="0" fillId="0" borderId="15" xfId="0" applyBorder="1"/>
    <xf numFmtId="0" fontId="0" fillId="0" borderId="16" xfId="0" applyBorder="1"/>
    <xf numFmtId="0" fontId="0" fillId="0" borderId="0" xfId="0"/>
    <xf numFmtId="164" fontId="0" fillId="0" borderId="13" xfId="0" applyNumberFormat="1" applyBorder="1"/>
    <xf numFmtId="166" fontId="0" fillId="33" borderId="16" xfId="0" applyNumberFormat="1" applyFill="1" applyBorder="1"/>
    <xf numFmtId="0" fontId="19" fillId="0" borderId="0" xfId="0" applyFont="1" applyBorder="1"/>
    <xf numFmtId="164" fontId="0" fillId="0" borderId="0" xfId="0" applyNumberFormat="1" applyBorder="1"/>
    <xf numFmtId="167" fontId="0" fillId="0" borderId="16" xfId="1" applyNumberFormat="1" applyFont="1" applyBorder="1"/>
    <xf numFmtId="1" fontId="39" fillId="0" borderId="0" xfId="0" applyNumberFormat="1" applyFont="1"/>
    <xf numFmtId="1" fontId="35" fillId="34" borderId="10" xfId="0" applyNumberFormat="1" applyFont="1" applyFill="1" applyBorder="1"/>
    <xf numFmtId="1" fontId="35" fillId="34" borderId="11" xfId="0" applyNumberFormat="1" applyFont="1" applyFill="1" applyBorder="1"/>
    <xf numFmtId="164" fontId="35" fillId="34" borderId="11" xfId="0" applyNumberFormat="1" applyFont="1" applyFill="1" applyBorder="1"/>
    <xf numFmtId="1" fontId="35" fillId="34" borderId="12" xfId="0" applyNumberFormat="1" applyFont="1" applyFill="1" applyBorder="1"/>
    <xf numFmtId="0" fontId="18" fillId="34" borderId="0" xfId="0" applyFont="1" applyFill="1"/>
    <xf numFmtId="1" fontId="35" fillId="34" borderId="15" xfId="0" applyNumberFormat="1" applyFont="1" applyFill="1" applyBorder="1"/>
    <xf numFmtId="1" fontId="35" fillId="34" borderId="16" xfId="0" applyNumberFormat="1" applyFont="1" applyFill="1" applyBorder="1"/>
    <xf numFmtId="164" fontId="35" fillId="34" borderId="16" xfId="0" applyNumberFormat="1" applyFont="1" applyFill="1" applyBorder="1"/>
    <xf numFmtId="0" fontId="35" fillId="34" borderId="17" xfId="0" applyFont="1" applyFill="1" applyBorder="1"/>
    <xf numFmtId="1" fontId="35" fillId="34" borderId="18" xfId="0" applyNumberFormat="1" applyFont="1" applyFill="1" applyBorder="1"/>
    <xf numFmtId="1" fontId="35" fillId="34" borderId="19" xfId="0" applyNumberFormat="1" applyFont="1" applyFill="1" applyBorder="1"/>
    <xf numFmtId="1" fontId="35" fillId="34" borderId="20" xfId="0" applyNumberFormat="1" applyFont="1" applyFill="1" applyBorder="1"/>
    <xf numFmtId="1" fontId="35" fillId="34" borderId="13" xfId="0" applyNumberFormat="1" applyFont="1" applyFill="1" applyBorder="1"/>
    <xf numFmtId="1" fontId="35" fillId="34" borderId="0" xfId="0" applyNumberFormat="1" applyFont="1" applyFill="1" applyBorder="1"/>
    <xf numFmtId="2" fontId="36" fillId="34" borderId="0" xfId="0" applyNumberFormat="1" applyFont="1" applyFill="1" applyBorder="1"/>
    <xf numFmtId="165" fontId="35" fillId="34" borderId="14" xfId="0" applyNumberFormat="1" applyFont="1" applyFill="1" applyBorder="1"/>
    <xf numFmtId="2" fontId="36" fillId="34" borderId="10" xfId="0" applyNumberFormat="1" applyFont="1" applyFill="1" applyBorder="1"/>
    <xf numFmtId="2" fontId="36" fillId="34" borderId="23" xfId="0" applyNumberFormat="1" applyFont="1" applyFill="1" applyBorder="1"/>
    <xf numFmtId="2" fontId="35" fillId="34" borderId="0" xfId="0" applyNumberFormat="1" applyFont="1" applyFill="1" applyBorder="1"/>
    <xf numFmtId="166" fontId="37" fillId="34" borderId="13" xfId="0" applyNumberFormat="1" applyFont="1" applyFill="1" applyBorder="1"/>
    <xf numFmtId="165" fontId="36" fillId="34" borderId="14" xfId="0" applyNumberFormat="1" applyFont="1" applyFill="1" applyBorder="1"/>
    <xf numFmtId="2" fontId="36" fillId="34" borderId="13" xfId="0" applyNumberFormat="1" applyFont="1" applyFill="1" applyBorder="1"/>
    <xf numFmtId="2" fontId="36" fillId="34" borderId="21" xfId="0" applyNumberFormat="1" applyFont="1" applyFill="1" applyBorder="1"/>
    <xf numFmtId="168" fontId="37" fillId="34" borderId="13" xfId="0" applyNumberFormat="1" applyFont="1" applyFill="1" applyBorder="1"/>
    <xf numFmtId="2" fontId="36" fillId="34" borderId="16" xfId="0" applyNumberFormat="1" applyFont="1" applyFill="1" applyBorder="1"/>
    <xf numFmtId="165" fontId="35" fillId="34" borderId="17" xfId="0" applyNumberFormat="1" applyFont="1" applyFill="1" applyBorder="1"/>
    <xf numFmtId="2" fontId="36" fillId="34" borderId="15" xfId="0" applyNumberFormat="1" applyFont="1" applyFill="1" applyBorder="1"/>
    <xf numFmtId="2" fontId="36" fillId="34" borderId="22" xfId="0" applyNumberFormat="1" applyFont="1" applyFill="1" applyBorder="1"/>
    <xf numFmtId="0" fontId="0" fillId="34" borderId="0" xfId="0" applyFill="1" applyAlignment="1">
      <alignment horizontal="center"/>
    </xf>
    <xf numFmtId="0" fontId="42" fillId="0" borderId="0" xfId="0" applyFont="1"/>
    <xf numFmtId="164" fontId="44" fillId="0" borderId="0" xfId="0" applyNumberFormat="1" applyFont="1"/>
    <xf numFmtId="0" fontId="44" fillId="0" borderId="0" xfId="0" applyFont="1"/>
    <xf numFmtId="164" fontId="42" fillId="0" borderId="0" xfId="0" applyNumberFormat="1" applyFont="1"/>
    <xf numFmtId="0" fontId="0" fillId="36" borderId="17" xfId="0" applyFill="1" applyBorder="1"/>
    <xf numFmtId="2" fontId="0" fillId="36" borderId="0" xfId="0" applyNumberFormat="1" applyFill="1" applyBorder="1"/>
    <xf numFmtId="165" fontId="0" fillId="0" borderId="0" xfId="0" applyNumberFormat="1" applyBorder="1"/>
    <xf numFmtId="0" fontId="0" fillId="38" borderId="0" xfId="0" applyFill="1" applyBorder="1"/>
    <xf numFmtId="2" fontId="0" fillId="38" borderId="0" xfId="0" applyNumberFormat="1" applyFill="1" applyBorder="1"/>
    <xf numFmtId="1" fontId="0" fillId="0" borderId="0" xfId="0" applyNumberFormat="1" applyAlignment="1">
      <alignment horizontal="right"/>
    </xf>
    <xf numFmtId="1" fontId="38" fillId="0" borderId="0" xfId="0" applyNumberFormat="1" applyFont="1" applyAlignment="1">
      <alignment horizontal="right"/>
    </xf>
    <xf numFmtId="0" fontId="0" fillId="0" borderId="23" xfId="0" applyBorder="1"/>
    <xf numFmtId="0" fontId="25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24" fillId="0" borderId="0" xfId="0" applyFont="1" applyFill="1" applyBorder="1" applyAlignment="1">
      <alignment horizontal="center" vertical="top"/>
    </xf>
    <xf numFmtId="0" fontId="24" fillId="36" borderId="23" xfId="0" applyFont="1" applyFill="1" applyBorder="1" applyAlignment="1">
      <alignment horizontal="center" vertical="top"/>
    </xf>
    <xf numFmtId="0" fontId="25" fillId="36" borderId="22" xfId="0" applyFont="1" applyFill="1" applyBorder="1" applyAlignment="1">
      <alignment horizontal="right"/>
    </xf>
    <xf numFmtId="0" fontId="25" fillId="36" borderId="23" xfId="0" applyFont="1" applyFill="1" applyBorder="1" applyAlignment="1">
      <alignment horizontal="right"/>
    </xf>
    <xf numFmtId="0" fontId="26" fillId="36" borderId="22" xfId="0" applyFont="1" applyFill="1" applyBorder="1" applyAlignment="1">
      <alignment horizontal="right"/>
    </xf>
    <xf numFmtId="165" fontId="0" fillId="38" borderId="22" xfId="0" applyNumberFormat="1" applyFill="1" applyBorder="1"/>
    <xf numFmtId="0" fontId="18" fillId="0" borderId="0" xfId="0" applyFont="1" applyBorder="1" applyAlignment="1"/>
    <xf numFmtId="0" fontId="0" fillId="36" borderId="0" xfId="0" applyFill="1" applyBorder="1"/>
    <xf numFmtId="0" fontId="30" fillId="0" borderId="0" xfId="0" applyFont="1" applyBorder="1"/>
    <xf numFmtId="0" fontId="45" fillId="0" borderId="0" xfId="0" applyFont="1"/>
    <xf numFmtId="0" fontId="45" fillId="0" borderId="0" xfId="0" applyFont="1" applyAlignment="1">
      <alignment horizontal="right"/>
    </xf>
    <xf numFmtId="0" fontId="39" fillId="34" borderId="0" xfId="0" applyFont="1" applyFill="1"/>
    <xf numFmtId="1" fontId="0" fillId="34" borderId="0" xfId="0" applyNumberFormat="1" applyFont="1" applyFill="1"/>
    <xf numFmtId="1" fontId="19" fillId="34" borderId="0" xfId="0" applyNumberFormat="1" applyFont="1" applyFill="1"/>
    <xf numFmtId="164" fontId="19" fillId="34" borderId="0" xfId="0" applyNumberFormat="1" applyFont="1" applyFill="1"/>
    <xf numFmtId="0" fontId="19" fillId="34" borderId="0" xfId="0" applyFont="1" applyFill="1"/>
    <xf numFmtId="0" fontId="0" fillId="34" borderId="0" xfId="0" applyFill="1"/>
    <xf numFmtId="1" fontId="0" fillId="34" borderId="0" xfId="0" applyNumberFormat="1" applyFill="1"/>
    <xf numFmtId="164" fontId="0" fillId="34" borderId="0" xfId="0" applyNumberFormat="1" applyFill="1"/>
    <xf numFmtId="1" fontId="31" fillId="34" borderId="0" xfId="0" applyNumberFormat="1" applyFont="1" applyFill="1"/>
    <xf numFmtId="0" fontId="35" fillId="34" borderId="24" xfId="0" applyFont="1" applyFill="1" applyBorder="1"/>
    <xf numFmtId="0" fontId="28" fillId="34" borderId="24" xfId="43" applyFont="1" applyFill="1" applyBorder="1"/>
    <xf numFmtId="1" fontId="35" fillId="34" borderId="24" xfId="1" applyNumberFormat="1" applyFont="1" applyFill="1" applyBorder="1"/>
    <xf numFmtId="0" fontId="33" fillId="34" borderId="0" xfId="0" applyFont="1" applyFill="1" applyBorder="1" applyAlignment="1">
      <alignment horizontal="right"/>
    </xf>
    <xf numFmtId="0" fontId="16" fillId="34" borderId="0" xfId="0" applyFont="1" applyFill="1"/>
    <xf numFmtId="0" fontId="0" fillId="34" borderId="0" xfId="0" applyFill="1" applyAlignment="1">
      <alignment horizontal="left"/>
    </xf>
    <xf numFmtId="1" fontId="0" fillId="34" borderId="0" xfId="0" applyNumberFormat="1" applyFill="1" applyAlignment="1">
      <alignment horizontal="right"/>
    </xf>
    <xf numFmtId="1" fontId="34" fillId="34" borderId="24" xfId="0" applyNumberFormat="1" applyFont="1" applyFill="1" applyBorder="1" applyAlignment="1">
      <alignment horizontal="right"/>
    </xf>
    <xf numFmtId="0" fontId="0" fillId="34" borderId="13" xfId="0" applyFill="1" applyBorder="1"/>
    <xf numFmtId="0" fontId="0" fillId="34" borderId="0" xfId="0" applyFill="1" applyBorder="1"/>
    <xf numFmtId="1" fontId="0" fillId="34" borderId="0" xfId="0" applyNumberFormat="1" applyFill="1" applyAlignment="1">
      <alignment horizontal="left"/>
    </xf>
    <xf numFmtId="2" fontId="27" fillId="34" borderId="0" xfId="0" applyNumberFormat="1" applyFont="1" applyFill="1"/>
    <xf numFmtId="0" fontId="0" fillId="34" borderId="25" xfId="0" applyFill="1" applyBorder="1"/>
    <xf numFmtId="0" fontId="0" fillId="34" borderId="26" xfId="0" applyFill="1" applyBorder="1"/>
    <xf numFmtId="0" fontId="0" fillId="34" borderId="28" xfId="0" applyFill="1" applyBorder="1"/>
    <xf numFmtId="0" fontId="0" fillId="34" borderId="27" xfId="0" applyFill="1" applyBorder="1"/>
    <xf numFmtId="0" fontId="0" fillId="34" borderId="30" xfId="0" applyFill="1" applyBorder="1"/>
    <xf numFmtId="0" fontId="0" fillId="34" borderId="31" xfId="0" applyFill="1" applyBorder="1"/>
    <xf numFmtId="164" fontId="0" fillId="0" borderId="10" xfId="0" applyNumberFormat="1" applyBorder="1"/>
    <xf numFmtId="0" fontId="19" fillId="0" borderId="11" xfId="0" applyFont="1" applyBorder="1"/>
    <xf numFmtId="166" fontId="16" fillId="40" borderId="13" xfId="0" applyNumberFormat="1" applyFont="1" applyFill="1" applyBorder="1"/>
    <xf numFmtId="164" fontId="0" fillId="0" borderId="15" xfId="0" applyNumberFormat="1" applyBorder="1"/>
    <xf numFmtId="2" fontId="16" fillId="37" borderId="13" xfId="0" applyNumberFormat="1" applyFont="1" applyFill="1" applyBorder="1"/>
    <xf numFmtId="1" fontId="0" fillId="0" borderId="10" xfId="0" applyNumberFormat="1" applyBorder="1"/>
    <xf numFmtId="1" fontId="0" fillId="0" borderId="11" xfId="0" applyNumberFormat="1" applyBorder="1"/>
    <xf numFmtId="166" fontId="18" fillId="0" borderId="13" xfId="0" applyNumberFormat="1" applyFont="1" applyBorder="1" applyAlignment="1"/>
    <xf numFmtId="2" fontId="0" fillId="0" borderId="13" xfId="0" applyNumberFormat="1" applyBorder="1"/>
    <xf numFmtId="2" fontId="0" fillId="0" borderId="15" xfId="0" applyNumberFormat="1" applyBorder="1"/>
    <xf numFmtId="164" fontId="0" fillId="0" borderId="16" xfId="0" applyNumberFormat="1" applyBorder="1"/>
    <xf numFmtId="2" fontId="0" fillId="0" borderId="16" xfId="0" applyNumberFormat="1" applyBorder="1"/>
    <xf numFmtId="0" fontId="29" fillId="0" borderId="16" xfId="0" applyFont="1" applyBorder="1"/>
    <xf numFmtId="0" fontId="16" fillId="0" borderId="0" xfId="0" applyFont="1"/>
    <xf numFmtId="1" fontId="48" fillId="0" borderId="0" xfId="0" applyNumberFormat="1" applyFont="1"/>
    <xf numFmtId="0" fontId="48" fillId="0" borderId="0" xfId="0" applyFont="1"/>
    <xf numFmtId="0" fontId="50" fillId="34" borderId="0" xfId="0" applyFont="1" applyFill="1" applyBorder="1" applyAlignment="1"/>
    <xf numFmtId="0" fontId="51" fillId="34" borderId="0" xfId="0" applyFont="1" applyFill="1" applyBorder="1" applyAlignment="1"/>
    <xf numFmtId="0" fontId="52" fillId="34" borderId="0" xfId="0" applyFont="1" applyFill="1" applyBorder="1" applyAlignment="1"/>
    <xf numFmtId="0" fontId="53" fillId="34" borderId="0" xfId="0" applyFont="1" applyFill="1" applyBorder="1" applyAlignment="1"/>
    <xf numFmtId="0" fontId="37" fillId="41" borderId="0" xfId="0" applyFont="1" applyFill="1"/>
    <xf numFmtId="0" fontId="0" fillId="34" borderId="0" xfId="0" applyFill="1" applyAlignment="1">
      <alignment horizontal="right"/>
    </xf>
    <xf numFmtId="0" fontId="55" fillId="34" borderId="0" xfId="0" applyFont="1" applyFill="1" applyBorder="1"/>
    <xf numFmtId="0" fontId="0" fillId="34" borderId="28" xfId="0" applyFill="1" applyBorder="1" applyAlignment="1">
      <alignment horizontal="right"/>
    </xf>
    <xf numFmtId="0" fontId="56" fillId="34" borderId="28" xfId="0" applyFont="1" applyFill="1" applyBorder="1" applyAlignment="1">
      <alignment horizontal="right" vertical="top"/>
    </xf>
    <xf numFmtId="0" fontId="0" fillId="34" borderId="29" xfId="0" applyFill="1" applyBorder="1"/>
    <xf numFmtId="166" fontId="36" fillId="34" borderId="10" xfId="0" applyNumberFormat="1" applyFont="1" applyFill="1" applyBorder="1" applyAlignment="1">
      <alignment horizontal="right"/>
    </xf>
    <xf numFmtId="166" fontId="36" fillId="34" borderId="11" xfId="0" applyNumberFormat="1" applyFont="1" applyFill="1" applyBorder="1" applyAlignment="1">
      <alignment horizontal="right"/>
    </xf>
    <xf numFmtId="166" fontId="37" fillId="34" borderId="11" xfId="0" applyNumberFormat="1" applyFont="1" applyFill="1" applyBorder="1" applyAlignment="1">
      <alignment horizontal="right"/>
    </xf>
    <xf numFmtId="166" fontId="36" fillId="34" borderId="12" xfId="0" applyNumberFormat="1" applyFont="1" applyFill="1" applyBorder="1" applyAlignment="1">
      <alignment horizontal="right"/>
    </xf>
    <xf numFmtId="0" fontId="49" fillId="34" borderId="0" xfId="0" applyFont="1" applyFill="1"/>
    <xf numFmtId="0" fontId="20" fillId="34" borderId="24" xfId="0" applyFont="1" applyFill="1" applyBorder="1" applyAlignment="1">
      <alignment horizontal="right"/>
    </xf>
    <xf numFmtId="165" fontId="37" fillId="34" borderId="24" xfId="0" applyNumberFormat="1" applyFont="1" applyFill="1" applyBorder="1" applyAlignment="1">
      <alignment horizontal="right"/>
    </xf>
    <xf numFmtId="1" fontId="37" fillId="34" borderId="24" xfId="0" applyNumberFormat="1" applyFont="1" applyFill="1" applyBorder="1" applyAlignment="1">
      <alignment horizontal="right"/>
    </xf>
    <xf numFmtId="165" fontId="0" fillId="34" borderId="13" xfId="0" applyNumberFormat="1" applyFill="1" applyBorder="1"/>
    <xf numFmtId="165" fontId="0" fillId="34" borderId="0" xfId="0" applyNumberFormat="1" applyFill="1" applyBorder="1"/>
    <xf numFmtId="165" fontId="0" fillId="34" borderId="18" xfId="0" applyNumberFormat="1" applyFill="1" applyBorder="1"/>
    <xf numFmtId="165" fontId="0" fillId="34" borderId="19" xfId="0" applyNumberFormat="1" applyFill="1" applyBorder="1"/>
    <xf numFmtId="165" fontId="0" fillId="34" borderId="20" xfId="0" applyNumberFormat="1" applyFill="1" applyBorder="1"/>
    <xf numFmtId="165" fontId="0" fillId="34" borderId="14" xfId="0" applyNumberFormat="1" applyFill="1" applyBorder="1"/>
    <xf numFmtId="2" fontId="35" fillId="38" borderId="24" xfId="0" applyNumberFormat="1" applyFont="1" applyFill="1" applyBorder="1"/>
    <xf numFmtId="0" fontId="61" fillId="34" borderId="0" xfId="0" applyFont="1" applyFill="1"/>
    <xf numFmtId="1" fontId="61" fillId="34" borderId="0" xfId="0" applyNumberFormat="1" applyFont="1" applyFill="1" applyAlignment="1">
      <alignment horizontal="right"/>
    </xf>
    <xf numFmtId="165" fontId="34" fillId="34" borderId="24" xfId="0" applyNumberFormat="1" applyFont="1" applyFill="1" applyBorder="1" applyAlignment="1">
      <alignment horizontal="right"/>
    </xf>
    <xf numFmtId="165" fontId="63" fillId="34" borderId="24" xfId="0" applyNumberFormat="1" applyFont="1" applyFill="1" applyBorder="1" applyAlignment="1">
      <alignment horizontal="right"/>
    </xf>
    <xf numFmtId="165" fontId="49" fillId="34" borderId="15" xfId="0" applyNumberFormat="1" applyFont="1" applyFill="1" applyBorder="1"/>
    <xf numFmtId="165" fontId="49" fillId="34" borderId="16" xfId="0" applyNumberFormat="1" applyFont="1" applyFill="1" applyBorder="1"/>
    <xf numFmtId="165" fontId="49" fillId="34" borderId="17" xfId="0" applyNumberFormat="1" applyFont="1" applyFill="1" applyBorder="1"/>
    <xf numFmtId="1" fontId="40" fillId="34" borderId="0" xfId="0" applyNumberFormat="1" applyFont="1" applyFill="1" applyAlignment="1">
      <alignment horizontal="center"/>
    </xf>
    <xf numFmtId="1" fontId="40" fillId="34" borderId="0" xfId="0" applyNumberFormat="1" applyFont="1" applyFill="1"/>
    <xf numFmtId="0" fontId="40" fillId="34" borderId="0" xfId="0" applyFont="1" applyFill="1" applyAlignment="1">
      <alignment horizontal="center"/>
    </xf>
    <xf numFmtId="0" fontId="49" fillId="34" borderId="0" xfId="0" applyFont="1" applyFill="1" applyAlignment="1">
      <alignment horizontal="right"/>
    </xf>
    <xf numFmtId="0" fontId="57" fillId="34" borderId="0" xfId="0" applyFont="1" applyFill="1" applyBorder="1" applyAlignment="1">
      <alignment horizontal="left" wrapText="1"/>
    </xf>
    <xf numFmtId="0" fontId="57" fillId="34" borderId="27" xfId="0" applyFont="1" applyFill="1" applyBorder="1" applyAlignment="1">
      <alignment horizontal="left" wrapText="1"/>
    </xf>
    <xf numFmtId="0" fontId="57" fillId="34" borderId="0" xfId="0" applyFont="1" applyFill="1" applyBorder="1" applyAlignment="1">
      <alignment horizontal="left" vertical="top" wrapText="1"/>
    </xf>
    <xf numFmtId="0" fontId="57" fillId="34" borderId="27" xfId="0" applyFont="1" applyFill="1" applyBorder="1" applyAlignment="1">
      <alignment horizontal="left" vertical="top" wrapText="1"/>
    </xf>
    <xf numFmtId="0" fontId="18" fillId="34" borderId="23" xfId="0" applyFont="1" applyFill="1" applyBorder="1" applyAlignment="1">
      <alignment horizontal="center" vertical="center" textRotation="90" wrapText="1"/>
    </xf>
    <xf numFmtId="0" fontId="18" fillId="34" borderId="21" xfId="0" applyFont="1" applyFill="1" applyBorder="1" applyAlignment="1">
      <alignment horizontal="center" vertical="center" textRotation="90" wrapText="1"/>
    </xf>
    <xf numFmtId="0" fontId="18" fillId="34" borderId="22" xfId="0" applyFont="1" applyFill="1" applyBorder="1" applyAlignment="1">
      <alignment horizontal="center" vertical="center" textRotation="90" wrapText="1"/>
    </xf>
    <xf numFmtId="0" fontId="0" fillId="34" borderId="0" xfId="0" applyFill="1" applyAlignment="1">
      <alignment horizontal="center" wrapText="1"/>
    </xf>
    <xf numFmtId="1" fontId="0" fillId="39" borderId="18" xfId="0" applyNumberFormat="1" applyFill="1" applyBorder="1" applyAlignment="1">
      <alignment horizontal="center"/>
    </xf>
    <xf numFmtId="1" fontId="0" fillId="39" borderId="20" xfId="0" applyNumberFormat="1" applyFill="1" applyBorder="1" applyAlignment="1">
      <alignment horizontal="center"/>
    </xf>
    <xf numFmtId="0" fontId="19" fillId="40" borderId="18" xfId="0" applyFont="1" applyFill="1" applyBorder="1" applyAlignment="1">
      <alignment horizontal="center"/>
    </xf>
    <xf numFmtId="0" fontId="19" fillId="40" borderId="20" xfId="0" applyFont="1" applyFill="1" applyBorder="1" applyAlignment="1">
      <alignment horizontal="center"/>
    </xf>
    <xf numFmtId="0" fontId="18" fillId="0" borderId="13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1" fontId="0" fillId="35" borderId="18" xfId="0" applyNumberFormat="1" applyFill="1" applyBorder="1" applyAlignment="1">
      <alignment horizontal="center"/>
    </xf>
    <xf numFmtId="1" fontId="0" fillId="35" borderId="20" xfId="0" applyNumberFormat="1" applyFill="1" applyBorder="1" applyAlignment="1">
      <alignment horizontal="center"/>
    </xf>
    <xf numFmtId="0" fontId="20" fillId="34" borderId="18" xfId="0" applyFont="1" applyFill="1" applyBorder="1" applyAlignment="1">
      <alignment horizontal="center" wrapText="1"/>
    </xf>
    <xf numFmtId="0" fontId="20" fillId="34" borderId="19" xfId="0" applyFont="1" applyFill="1" applyBorder="1" applyAlignment="1">
      <alignment horizontal="center" wrapText="1"/>
    </xf>
    <xf numFmtId="0" fontId="20" fillId="34" borderId="20" xfId="0" applyFont="1" applyFill="1" applyBorder="1" applyAlignment="1">
      <alignment horizontal="center" wrapText="1"/>
    </xf>
    <xf numFmtId="0" fontId="60" fillId="34" borderId="10" xfId="0" applyFont="1" applyFill="1" applyBorder="1" applyAlignment="1">
      <alignment horizontal="right" vertical="top" wrapText="1"/>
    </xf>
    <xf numFmtId="0" fontId="60" fillId="34" borderId="12" xfId="0" applyFont="1" applyFill="1" applyBorder="1" applyAlignment="1">
      <alignment horizontal="right" vertical="top" wrapText="1"/>
    </xf>
    <xf numFmtId="0" fontId="60" fillId="34" borderId="13" xfId="0" applyFont="1" applyFill="1" applyBorder="1" applyAlignment="1">
      <alignment horizontal="right" vertical="top" wrapText="1"/>
    </xf>
    <xf numFmtId="0" fontId="60" fillId="34" borderId="14" xfId="0" applyFont="1" applyFill="1" applyBorder="1" applyAlignment="1">
      <alignment horizontal="right" vertical="top" wrapText="1"/>
    </xf>
    <xf numFmtId="0" fontId="60" fillId="34" borderId="15" xfId="0" applyFont="1" applyFill="1" applyBorder="1" applyAlignment="1">
      <alignment horizontal="right" vertical="top" wrapText="1"/>
    </xf>
    <xf numFmtId="0" fontId="60" fillId="34" borderId="17" xfId="0" applyFont="1" applyFill="1" applyBorder="1" applyAlignment="1">
      <alignment horizontal="right" vertical="top" wrapText="1"/>
    </xf>
    <xf numFmtId="164" fontId="0" fillId="34" borderId="0" xfId="0" applyNumberFormat="1" applyFill="1" applyAlignment="1">
      <alignment horizontal="right"/>
    </xf>
    <xf numFmtId="164" fontId="68" fillId="34" borderId="0" xfId="0" applyNumberFormat="1" applyFont="1" applyFill="1" applyAlignment="1">
      <alignment horizontal="right"/>
    </xf>
    <xf numFmtId="1" fontId="0" fillId="34" borderId="0" xfId="0" applyNumberFormat="1" applyFill="1" applyBorder="1"/>
    <xf numFmtId="1" fontId="0" fillId="34" borderId="0" xfId="0" applyNumberFormat="1" applyFill="1" applyBorder="1" applyAlignment="1">
      <alignment horizontal="right"/>
    </xf>
    <xf numFmtId="1" fontId="0" fillId="42" borderId="15" xfId="0" applyNumberFormat="1" applyFill="1" applyBorder="1"/>
    <xf numFmtId="1" fontId="0" fillId="42" borderId="16" xfId="0" applyNumberFormat="1" applyFill="1" applyBorder="1"/>
    <xf numFmtId="1" fontId="0" fillId="42" borderId="16" xfId="0" applyNumberFormat="1" applyFill="1" applyBorder="1" applyAlignment="1">
      <alignment horizontal="right"/>
    </xf>
    <xf numFmtId="1" fontId="0" fillId="42" borderId="17" xfId="0" applyNumberFormat="1" applyFill="1" applyBorder="1" applyAlignment="1">
      <alignment horizontal="right"/>
    </xf>
    <xf numFmtId="1" fontId="48" fillId="34" borderId="13" xfId="0" applyNumberFormat="1" applyFont="1" applyFill="1" applyBorder="1"/>
    <xf numFmtId="1" fontId="67" fillId="42" borderId="10" xfId="0" applyNumberFormat="1" applyFont="1" applyFill="1" applyBorder="1"/>
    <xf numFmtId="1" fontId="67" fillId="42" borderId="11" xfId="0" applyNumberFormat="1" applyFont="1" applyFill="1" applyBorder="1"/>
    <xf numFmtId="1" fontId="67" fillId="42" borderId="12" xfId="0" applyNumberFormat="1" applyFont="1" applyFill="1" applyBorder="1"/>
    <xf numFmtId="1" fontId="0" fillId="0" borderId="0" xfId="0" applyNumberForma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63501</xdr:colOff>
      <xdr:row>22</xdr:row>
      <xdr:rowOff>21167</xdr:rowOff>
    </xdr:from>
    <xdr:to>
      <xdr:col>22</xdr:col>
      <xdr:colOff>254000</xdr:colOff>
      <xdr:row>24</xdr:row>
      <xdr:rowOff>95251</xdr:rowOff>
    </xdr:to>
    <xdr:cxnSp macro="">
      <xdr:nvCxnSpPr>
        <xdr:cNvPr id="2" name="Straight Connector 1"/>
        <xdr:cNvCxnSpPr/>
      </xdr:nvCxnSpPr>
      <xdr:spPr>
        <a:xfrm flipV="1">
          <a:off x="11312526" y="1335617"/>
          <a:ext cx="800099" cy="455084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10584</xdr:colOff>
      <xdr:row>20</xdr:row>
      <xdr:rowOff>254000</xdr:rowOff>
    </xdr:from>
    <xdr:to>
      <xdr:col>23</xdr:col>
      <xdr:colOff>10586</xdr:colOff>
      <xdr:row>25</xdr:row>
      <xdr:rowOff>3</xdr:rowOff>
    </xdr:to>
    <xdr:cxnSp macro="">
      <xdr:nvCxnSpPr>
        <xdr:cNvPr id="3" name="Straight Connector 2"/>
        <xdr:cNvCxnSpPr/>
      </xdr:nvCxnSpPr>
      <xdr:spPr>
        <a:xfrm rot="5400000" flipH="1" flipV="1">
          <a:off x="12043833" y="1450976"/>
          <a:ext cx="869953" cy="2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548218</xdr:colOff>
      <xdr:row>24</xdr:row>
      <xdr:rowOff>188385</xdr:rowOff>
    </xdr:from>
    <xdr:to>
      <xdr:col>23</xdr:col>
      <xdr:colOff>10584</xdr:colOff>
      <xdr:row>25</xdr:row>
      <xdr:rowOff>0</xdr:rowOff>
    </xdr:to>
    <xdr:cxnSp macro="">
      <xdr:nvCxnSpPr>
        <xdr:cNvPr id="4" name="Straight Connector 3"/>
        <xdr:cNvCxnSpPr/>
      </xdr:nvCxnSpPr>
      <xdr:spPr>
        <a:xfrm>
          <a:off x="11187643" y="1883835"/>
          <a:ext cx="1291166" cy="2115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24</xdr:col>
      <xdr:colOff>11915</xdr:colOff>
      <xdr:row>24</xdr:row>
      <xdr:rowOff>166688</xdr:rowOff>
    </xdr:from>
    <xdr:to>
      <xdr:col>25</xdr:col>
      <xdr:colOff>398815</xdr:colOff>
      <xdr:row>27</xdr:row>
      <xdr:rowOff>59532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9" y="4881563"/>
          <a:ext cx="994119" cy="46434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279805</xdr:colOff>
      <xdr:row>39</xdr:row>
      <xdr:rowOff>20425</xdr:rowOff>
    </xdr:from>
    <xdr:to>
      <xdr:col>7</xdr:col>
      <xdr:colOff>279806</xdr:colOff>
      <xdr:row>51</xdr:row>
      <xdr:rowOff>74825</xdr:rowOff>
    </xdr:to>
    <xdr:cxnSp macro="">
      <xdr:nvCxnSpPr>
        <xdr:cNvPr id="28" name="Straight Arrow Connector 27"/>
        <xdr:cNvCxnSpPr>
          <a:stCxn id="7" idx="2"/>
          <a:endCxn id="8" idx="0"/>
        </xdr:cNvCxnSpPr>
      </xdr:nvCxnSpPr>
      <xdr:spPr>
        <a:xfrm rot="5400000">
          <a:off x="2955325" y="8203406"/>
          <a:ext cx="2411837" cy="1"/>
        </a:xfrm>
        <a:prstGeom prst="straightConnector1">
          <a:avLst/>
        </a:prstGeom>
        <a:ln w="38100">
          <a:prstDash val="solid"/>
          <a:tailEnd type="triangle" w="lg" len="lg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464351</xdr:colOff>
      <xdr:row>36</xdr:row>
      <xdr:rowOff>83342</xdr:rowOff>
    </xdr:from>
    <xdr:to>
      <xdr:col>10</xdr:col>
      <xdr:colOff>309563</xdr:colOff>
      <xdr:row>54</xdr:row>
      <xdr:rowOff>83344</xdr:rowOff>
    </xdr:to>
    <xdr:grpSp>
      <xdr:nvGrpSpPr>
        <xdr:cNvPr id="11" name="Group 10"/>
        <xdr:cNvGrpSpPr/>
      </xdr:nvGrpSpPr>
      <xdr:grpSpPr>
        <a:xfrm>
          <a:off x="3791751" y="7220742"/>
          <a:ext cx="2321712" cy="3505202"/>
          <a:chOff x="4060031" y="5332809"/>
          <a:chExt cx="2309806" cy="2384675"/>
        </a:xfrm>
      </xdr:grpSpPr>
      <xdr:sp macro="" textlink="">
        <xdr:nvSpPr>
          <xdr:cNvPr id="7" name="Rectangle 6"/>
          <xdr:cNvSpPr/>
        </xdr:nvSpPr>
        <xdr:spPr>
          <a:xfrm>
            <a:off x="4060032" y="5332809"/>
            <a:ext cx="940594" cy="346472"/>
          </a:xfrm>
          <a:prstGeom prst="rect">
            <a:avLst/>
          </a:prstGeom>
        </xdr:spPr>
        <xdr:style>
          <a:lnRef idx="1">
            <a:schemeClr val="accent5"/>
          </a:lnRef>
          <a:fillRef idx="3">
            <a:schemeClr val="accent5"/>
          </a:fillRef>
          <a:effectRef idx="2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/>
              <a:t>Upstream abstraction</a:t>
            </a:r>
          </a:p>
        </xdr:txBody>
      </xdr:sp>
      <xdr:sp macro="" textlink="">
        <xdr:nvSpPr>
          <xdr:cNvPr id="8" name="Rectangle 7"/>
          <xdr:cNvSpPr/>
        </xdr:nvSpPr>
        <xdr:spPr>
          <a:xfrm>
            <a:off x="4060031" y="7322346"/>
            <a:ext cx="940594" cy="395138"/>
          </a:xfrm>
          <a:prstGeom prst="rect">
            <a:avLst/>
          </a:prstGeom>
        </xdr:spPr>
        <xdr:style>
          <a:lnRef idx="1">
            <a:schemeClr val="accent5"/>
          </a:lnRef>
          <a:fillRef idx="3">
            <a:schemeClr val="accent5"/>
          </a:fillRef>
          <a:effectRef idx="2">
            <a:schemeClr val="accent5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/>
              <a:t>Downstream abstraction</a:t>
            </a:r>
          </a:p>
        </xdr:txBody>
      </xdr:sp>
      <xdr:sp macro="" textlink="">
        <xdr:nvSpPr>
          <xdr:cNvPr id="2" name="Rectangle 1"/>
          <xdr:cNvSpPr/>
        </xdr:nvSpPr>
        <xdr:spPr>
          <a:xfrm>
            <a:off x="5345902" y="6241259"/>
            <a:ext cx="1023935" cy="421556"/>
          </a:xfrm>
          <a:prstGeom prst="rect">
            <a:avLst/>
          </a:prstGeom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en-US" sz="1100"/>
              <a:t>Current or proposed SSIP</a:t>
            </a:r>
          </a:p>
        </xdr:txBody>
      </xdr:sp>
    </xdr:grpSp>
    <xdr:clientData/>
  </xdr:twoCellAnchor>
  <xdr:twoCellAnchor>
    <xdr:from>
      <xdr:col>7</xdr:col>
      <xdr:colOff>361529</xdr:colOff>
      <xdr:row>41</xdr:row>
      <xdr:rowOff>89421</xdr:rowOff>
    </xdr:from>
    <xdr:to>
      <xdr:col>8</xdr:col>
      <xdr:colOff>452442</xdr:colOff>
      <xdr:row>44</xdr:row>
      <xdr:rowOff>166526</xdr:rowOff>
    </xdr:to>
    <xdr:cxnSp macro="">
      <xdr:nvCxnSpPr>
        <xdr:cNvPr id="13" name="Straight Arrow Connector 12"/>
        <xdr:cNvCxnSpPr>
          <a:stCxn id="19" idx="5"/>
          <a:endCxn id="2" idx="1"/>
        </xdr:cNvCxnSpPr>
      </xdr:nvCxnSpPr>
      <xdr:spPr>
        <a:xfrm rot="16200000" flipH="1">
          <a:off x="4267730" y="7422721"/>
          <a:ext cx="684323" cy="733850"/>
        </a:xfrm>
        <a:prstGeom prst="straightConnector1">
          <a:avLst/>
        </a:prstGeom>
        <a:ln w="15875">
          <a:prstDash val="dash"/>
          <a:tailEnd type="triangle" w="lg" len="lg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347242</xdr:colOff>
      <xdr:row>44</xdr:row>
      <xdr:rowOff>166527</xdr:rowOff>
    </xdr:from>
    <xdr:to>
      <xdr:col>8</xdr:col>
      <xdr:colOff>452442</xdr:colOff>
      <xdr:row>48</xdr:row>
      <xdr:rowOff>134418</xdr:rowOff>
    </xdr:to>
    <xdr:cxnSp macro="">
      <xdr:nvCxnSpPr>
        <xdr:cNvPr id="15" name="Straight Arrow Connector 14"/>
        <xdr:cNvCxnSpPr>
          <a:stCxn id="2" idx="1"/>
          <a:endCxn id="20" idx="7"/>
        </xdr:cNvCxnSpPr>
      </xdr:nvCxnSpPr>
      <xdr:spPr>
        <a:xfrm rot="10800000" flipV="1">
          <a:off x="4228680" y="8131808"/>
          <a:ext cx="748137" cy="765610"/>
        </a:xfrm>
        <a:prstGeom prst="straightConnector1">
          <a:avLst/>
        </a:prstGeom>
        <a:ln w="15875">
          <a:prstDash val="dash"/>
          <a:tailEnd type="triangle" w="lg" len="lg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178601</xdr:colOff>
      <xdr:row>40</xdr:row>
      <xdr:rowOff>107158</xdr:rowOff>
    </xdr:from>
    <xdr:to>
      <xdr:col>7</xdr:col>
      <xdr:colOff>392913</xdr:colOff>
      <xdr:row>41</xdr:row>
      <xdr:rowOff>119064</xdr:rowOff>
    </xdr:to>
    <xdr:sp macro="" textlink="">
      <xdr:nvSpPr>
        <xdr:cNvPr id="19" name="Oval 18"/>
        <xdr:cNvSpPr/>
      </xdr:nvSpPr>
      <xdr:spPr>
        <a:xfrm>
          <a:off x="4060039" y="7274721"/>
          <a:ext cx="214312" cy="202406"/>
        </a:xfrm>
        <a:prstGeom prst="ellipse">
          <a:avLst/>
        </a:prstGeom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164314</xdr:colOff>
      <xdr:row>48</xdr:row>
      <xdr:rowOff>104776</xdr:rowOff>
    </xdr:from>
    <xdr:to>
      <xdr:col>7</xdr:col>
      <xdr:colOff>378626</xdr:colOff>
      <xdr:row>49</xdr:row>
      <xdr:rowOff>116682</xdr:rowOff>
    </xdr:to>
    <xdr:sp macro="" textlink="">
      <xdr:nvSpPr>
        <xdr:cNvPr id="20" name="Oval 19"/>
        <xdr:cNvSpPr/>
      </xdr:nvSpPr>
      <xdr:spPr>
        <a:xfrm>
          <a:off x="4045752" y="8939214"/>
          <a:ext cx="214312" cy="202406"/>
        </a:xfrm>
        <a:prstGeom prst="ellipse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273851</xdr:colOff>
      <xdr:row>41</xdr:row>
      <xdr:rowOff>119064</xdr:rowOff>
    </xdr:from>
    <xdr:to>
      <xdr:col>7</xdr:col>
      <xdr:colOff>285757</xdr:colOff>
      <xdr:row>45</xdr:row>
      <xdr:rowOff>4</xdr:rowOff>
    </xdr:to>
    <xdr:cxnSp macro="">
      <xdr:nvCxnSpPr>
        <xdr:cNvPr id="34" name="Straight Arrow Connector 33"/>
        <xdr:cNvCxnSpPr>
          <a:stCxn id="19" idx="4"/>
        </xdr:cNvCxnSpPr>
      </xdr:nvCxnSpPr>
      <xdr:spPr>
        <a:xfrm rot="5400000">
          <a:off x="3821913" y="7810503"/>
          <a:ext cx="678658" cy="11906"/>
        </a:xfrm>
        <a:prstGeom prst="straightConnector1">
          <a:avLst/>
        </a:prstGeom>
        <a:ln w="50800">
          <a:solidFill>
            <a:srgbClr val="00B0F0"/>
          </a:solidFill>
          <a:prstDash val="sysDot"/>
          <a:tailEnd type="triangle" w="lg" len="med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10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9.bin"/><Relationship Id="rId5" Type="http://schemas.openxmlformats.org/officeDocument/2006/relationships/oleObject" Target="../embeddings/oleObject8.bin"/><Relationship Id="rId4" Type="http://schemas.openxmlformats.org/officeDocument/2006/relationships/oleObject" Target="../embeddings/oleObject7.bin"/><Relationship Id="rId9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zoomScale="80" zoomScaleNormal="80" workbookViewId="0"/>
  </sheetViews>
  <sheetFormatPr defaultRowHeight="15"/>
  <cols>
    <col min="1" max="1" width="4.7109375" style="92" customWidth="1"/>
    <col min="2" max="2" width="5.42578125" style="92" customWidth="1"/>
    <col min="3" max="16384" width="9.140625" style="92"/>
  </cols>
  <sheetData>
    <row r="1" spans="1:14" ht="15.75" thickBot="1">
      <c r="A1" s="134"/>
      <c r="B1" s="135"/>
    </row>
    <row r="2" spans="1:14" ht="15.75">
      <c r="B2" s="136" t="s">
        <v>104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9"/>
    </row>
    <row r="3" spans="1:14">
      <c r="B3" s="137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11"/>
    </row>
    <row r="4" spans="1:14" ht="31.5" customHeight="1">
      <c r="B4" s="138">
        <v>0</v>
      </c>
      <c r="C4" s="166" t="s">
        <v>107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7"/>
    </row>
    <row r="5" spans="1:14" ht="18" customHeight="1">
      <c r="B5" s="138">
        <v>1</v>
      </c>
      <c r="C5" s="168" t="s">
        <v>105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9"/>
    </row>
    <row r="6" spans="1:14" ht="60" customHeight="1">
      <c r="B6" s="138">
        <v>2</v>
      </c>
      <c r="C6" s="166" t="s">
        <v>106</v>
      </c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7"/>
    </row>
    <row r="7" spans="1:14">
      <c r="B7" s="110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11"/>
    </row>
    <row r="8" spans="1:14">
      <c r="B8" s="110"/>
      <c r="C8" s="130" t="s">
        <v>100</v>
      </c>
      <c r="D8" s="105"/>
      <c r="E8" s="131"/>
      <c r="F8" s="131"/>
      <c r="G8" s="105"/>
      <c r="H8" s="131"/>
      <c r="J8" s="132" t="s">
        <v>101</v>
      </c>
      <c r="K8" s="105"/>
      <c r="L8" s="105"/>
      <c r="M8" s="105"/>
      <c r="N8" s="111"/>
    </row>
    <row r="9" spans="1:14">
      <c r="B9" s="110"/>
      <c r="C9" s="133" t="s">
        <v>102</v>
      </c>
      <c r="D9" s="105"/>
      <c r="E9" s="133"/>
      <c r="F9" s="133"/>
      <c r="G9" s="105"/>
      <c r="H9" s="133"/>
      <c r="J9" s="132" t="s">
        <v>103</v>
      </c>
      <c r="K9" s="105"/>
      <c r="L9" s="105"/>
      <c r="M9" s="105"/>
      <c r="N9" s="111"/>
    </row>
    <row r="10" spans="1:14" ht="15.75" thickBot="1">
      <c r="B10" s="139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3"/>
    </row>
  </sheetData>
  <mergeCells count="3">
    <mergeCell ref="C4:N4"/>
    <mergeCell ref="C5:N5"/>
    <mergeCell ref="C6:N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B54"/>
  <sheetViews>
    <sheetView zoomScale="70" zoomScaleNormal="70" workbookViewId="0">
      <selection activeCell="A5" sqref="A5"/>
    </sheetView>
  </sheetViews>
  <sheetFormatPr defaultRowHeight="15"/>
  <cols>
    <col min="1" max="1" width="5.140625" style="24" customWidth="1"/>
    <col min="2" max="2" width="9.140625" style="24"/>
    <col min="3" max="3" width="5.42578125" style="1" customWidth="1"/>
    <col min="4" max="4" width="9" style="1" bestFit="1" customWidth="1"/>
    <col min="5" max="6" width="10.7109375" style="1" customWidth="1"/>
    <col min="7" max="7" width="11.85546875" style="2" customWidth="1"/>
    <col min="8" max="8" width="14.5703125" style="24" bestFit="1" customWidth="1"/>
    <col min="9" max="9" width="9.42578125" style="24" customWidth="1"/>
    <col min="10" max="10" width="8.85546875" style="24" customWidth="1"/>
    <col min="11" max="11" width="9.140625" style="24"/>
    <col min="12" max="12" width="9.28515625" style="24" customWidth="1"/>
    <col min="13" max="22" width="9.140625" style="24"/>
    <col min="23" max="23" width="9.28515625" style="24" bestFit="1" customWidth="1"/>
    <col min="24" max="16384" width="9.140625" style="24"/>
  </cols>
  <sheetData>
    <row r="2" spans="1:14" ht="18.75">
      <c r="A2" s="30" t="s">
        <v>129</v>
      </c>
      <c r="C2" s="5"/>
      <c r="D2" s="5"/>
      <c r="E2" s="5"/>
      <c r="F2" s="5"/>
      <c r="G2" s="6"/>
      <c r="H2" s="7"/>
      <c r="I2" s="7"/>
      <c r="J2" s="7"/>
      <c r="K2" s="7"/>
      <c r="L2" s="7"/>
    </row>
    <row r="3" spans="1:14" ht="15.75">
      <c r="A3" s="127">
        <v>1</v>
      </c>
      <c r="B3" s="128" t="s">
        <v>62</v>
      </c>
      <c r="C3" s="5"/>
      <c r="D3" s="5"/>
      <c r="E3" s="5"/>
      <c r="F3" s="5"/>
      <c r="G3" s="6"/>
      <c r="H3" s="7"/>
      <c r="I3" s="7"/>
      <c r="J3" s="7"/>
      <c r="K3" s="7"/>
      <c r="L3" s="7"/>
    </row>
    <row r="4" spans="1:14">
      <c r="B4" s="13"/>
      <c r="C4" s="5"/>
      <c r="D4" s="5"/>
      <c r="E4" s="5"/>
      <c r="F4" s="5"/>
      <c r="G4" s="6"/>
      <c r="H4" s="7"/>
      <c r="I4" s="7"/>
      <c r="J4" s="7"/>
      <c r="K4" s="7"/>
      <c r="L4" s="7"/>
    </row>
    <row r="5" spans="1:14" ht="28.5" customHeight="1">
      <c r="B5" s="7"/>
      <c r="C5" s="31" t="s">
        <v>9</v>
      </c>
      <c r="D5" s="32" t="s">
        <v>0</v>
      </c>
      <c r="E5" s="32" t="s">
        <v>11</v>
      </c>
      <c r="F5" s="32" t="s">
        <v>12</v>
      </c>
      <c r="G5" s="33" t="s">
        <v>13</v>
      </c>
      <c r="H5" s="34" t="s">
        <v>10</v>
      </c>
      <c r="I5" s="182" t="s">
        <v>17</v>
      </c>
      <c r="J5" s="183"/>
      <c r="K5" s="183"/>
      <c r="L5" s="184"/>
      <c r="M5" s="35"/>
      <c r="N5" s="173" t="s">
        <v>34</v>
      </c>
    </row>
    <row r="6" spans="1:14">
      <c r="B6" s="7"/>
      <c r="C6" s="36"/>
      <c r="D6" s="37"/>
      <c r="E6" s="37"/>
      <c r="F6" s="37"/>
      <c r="G6" s="38"/>
      <c r="H6" s="39"/>
      <c r="I6" s="40">
        <v>10</v>
      </c>
      <c r="J6" s="41">
        <v>25</v>
      </c>
      <c r="K6" s="41">
        <v>50</v>
      </c>
      <c r="L6" s="42">
        <v>100</v>
      </c>
      <c r="M6" s="35"/>
      <c r="N6" s="173"/>
    </row>
    <row r="7" spans="1:14">
      <c r="B7" s="7"/>
      <c r="C7" s="43">
        <v>1</v>
      </c>
      <c r="D7" s="44" t="s">
        <v>1</v>
      </c>
      <c r="E7" s="44">
        <v>437191</v>
      </c>
      <c r="F7" s="44">
        <v>993836</v>
      </c>
      <c r="G7" s="45">
        <v>4.8626714312199999</v>
      </c>
      <c r="H7" s="46">
        <v>5103.8743800000002</v>
      </c>
      <c r="I7" s="47">
        <f>(0.203*$G$7*K38)/(0.5*$J$40+0.6*$J$42)</f>
        <v>3.9107753012007742</v>
      </c>
      <c r="J7" s="47">
        <f>(0.203*$G$7*L38)/(0.5*$J$40+0.6*$J$42)</f>
        <v>4.3194885635958</v>
      </c>
      <c r="K7" s="47">
        <f>(0.203*$G$7*M38)/(0.5*$J$40+0.6*$J$42)</f>
        <v>4.4330092631912166</v>
      </c>
      <c r="L7" s="48">
        <f>(0.203*$G$7*N38)/(0.5*$J$40+0.6*$J$42)</f>
        <v>4.7363209514331137</v>
      </c>
      <c r="M7" s="170" t="s">
        <v>32</v>
      </c>
      <c r="N7" s="59" t="s">
        <v>33</v>
      </c>
    </row>
    <row r="8" spans="1:14">
      <c r="B8" s="7"/>
      <c r="C8" s="43">
        <v>2</v>
      </c>
      <c r="D8" s="44" t="s">
        <v>2</v>
      </c>
      <c r="E8" s="44">
        <v>437558</v>
      </c>
      <c r="F8" s="44">
        <v>993010</v>
      </c>
      <c r="G8" s="49">
        <v>0.14162111015699999</v>
      </c>
      <c r="H8" s="46">
        <v>122.70581900000001</v>
      </c>
      <c r="I8" s="50">
        <f>0.278*$I$22*I27*$G$8</f>
        <v>2.7226129708872004E-2</v>
      </c>
      <c r="J8" s="50">
        <f>0.278*$I$22*J27*$G$8</f>
        <v>2.8116562997576793E-2</v>
      </c>
      <c r="K8" s="50">
        <f>0.278*$I$22*K27*$G$8</f>
        <v>2.8358036431801823E-2</v>
      </c>
      <c r="L8" s="50">
        <f>0.278*$I$22*L27*$G$8</f>
        <v>2.8991904196642524E-2</v>
      </c>
      <c r="M8" s="171"/>
      <c r="N8" s="59" t="s">
        <v>15</v>
      </c>
    </row>
    <row r="9" spans="1:14">
      <c r="B9" s="7"/>
      <c r="C9" s="43">
        <v>3</v>
      </c>
      <c r="D9" s="44" t="s">
        <v>3</v>
      </c>
      <c r="E9" s="44">
        <v>437850</v>
      </c>
      <c r="F9" s="44">
        <v>993422</v>
      </c>
      <c r="G9" s="49">
        <v>0.198432431026</v>
      </c>
      <c r="H9" s="46">
        <v>176.08641700000001</v>
      </c>
      <c r="I9" s="50">
        <f>0.278*$I$22*I27*$G$9</f>
        <v>3.8147894050339345E-2</v>
      </c>
      <c r="J9" s="50">
        <f>0.278*$I$22*J27*$G$9</f>
        <v>3.9395524731586584E-2</v>
      </c>
      <c r="K9" s="50">
        <f>0.278*$I$22*K27*$G$9</f>
        <v>3.9733865255314652E-2</v>
      </c>
      <c r="L9" s="50">
        <f>0.278*$I$22*L27*$G$9</f>
        <v>4.062200913010082E-2</v>
      </c>
      <c r="M9" s="171"/>
      <c r="N9" s="59" t="s">
        <v>15</v>
      </c>
    </row>
    <row r="10" spans="1:14">
      <c r="B10" s="7"/>
      <c r="C10" s="43">
        <v>4</v>
      </c>
      <c r="D10" s="44" t="s">
        <v>4</v>
      </c>
      <c r="E10" s="44">
        <v>438015</v>
      </c>
      <c r="F10" s="44">
        <v>993802</v>
      </c>
      <c r="G10" s="49">
        <v>0.14402417332299999</v>
      </c>
      <c r="H10" s="46">
        <v>254.13196500000001</v>
      </c>
      <c r="I10" s="50">
        <f>0.278*$I$22*I27*$G$10</f>
        <v>2.7688109631099685E-2</v>
      </c>
      <c r="J10" s="50">
        <f>0.278*$I$22*J27*$G$10</f>
        <v>2.8593652019256489E-2</v>
      </c>
      <c r="K10" s="50">
        <f>0.278*$I$22*K27*$G$10</f>
        <v>2.8839222836383759E-2</v>
      </c>
      <c r="L10" s="50">
        <f>0.278*$I$22*L27*$G$10</f>
        <v>2.9483846231342842E-2</v>
      </c>
      <c r="M10" s="171"/>
      <c r="N10" s="59" t="s">
        <v>15</v>
      </c>
    </row>
    <row r="11" spans="1:14">
      <c r="B11" s="7"/>
      <c r="C11" s="43">
        <v>5</v>
      </c>
      <c r="D11" s="44" t="s">
        <v>5</v>
      </c>
      <c r="E11" s="44">
        <v>438296</v>
      </c>
      <c r="F11" s="44">
        <v>992273</v>
      </c>
      <c r="G11" s="49">
        <v>0.13439404163800001</v>
      </c>
      <c r="H11" s="46">
        <v>1485.2402649999999</v>
      </c>
      <c r="I11" s="50">
        <f>0.278*$I$22*I27*$G$11</f>
        <v>2.583675276715006E-2</v>
      </c>
      <c r="J11" s="50">
        <f>0.278*$I$22*J27*$G$11</f>
        <v>2.6681746344346207E-2</v>
      </c>
      <c r="K11" s="50">
        <f>0.278*$I$22*K27*$G$11</f>
        <v>2.6910897144941773E-2</v>
      </c>
      <c r="L11" s="50">
        <f>0.278*$I$22*L27*$G$11</f>
        <v>2.7512417996505133E-2</v>
      </c>
      <c r="M11" s="171"/>
      <c r="N11" s="59" t="s">
        <v>15</v>
      </c>
    </row>
    <row r="12" spans="1:14">
      <c r="B12" s="7"/>
      <c r="C12" s="43">
        <v>6</v>
      </c>
      <c r="D12" s="44" t="s">
        <v>6</v>
      </c>
      <c r="E12" s="44">
        <v>438763</v>
      </c>
      <c r="F12" s="44">
        <v>992752</v>
      </c>
      <c r="G12" s="45">
        <v>0.64010596093799998</v>
      </c>
      <c r="H12" s="51">
        <v>737.730816</v>
      </c>
      <c r="I12" s="52">
        <f>(0.203*$G$12*K38)/(0.5*$J$40+0.6*$J$42)</f>
        <v>0.51480150727758722</v>
      </c>
      <c r="J12" s="52">
        <f>(0.203*$G$12*L38)/(0.5*$J$40+0.6*$J$42)</f>
        <v>0.56860316738848538</v>
      </c>
      <c r="K12" s="52">
        <f>(0.203*$G$12*M38)/(0.5*$J$40+0.6*$J$42)</f>
        <v>0.58354665627698865</v>
      </c>
      <c r="L12" s="53">
        <f>(0.203*$G$12*N38)/(0.5*$J$40+0.6*$J$42)</f>
        <v>0.62347360228022608</v>
      </c>
      <c r="M12" s="171"/>
      <c r="N12" s="59" t="s">
        <v>33</v>
      </c>
    </row>
    <row r="13" spans="1:14">
      <c r="B13" s="7"/>
      <c r="C13" s="43">
        <v>7</v>
      </c>
      <c r="D13" s="44" t="s">
        <v>7</v>
      </c>
      <c r="E13" s="44">
        <v>438317</v>
      </c>
      <c r="F13" s="44">
        <v>992875</v>
      </c>
      <c r="G13" s="49">
        <v>0.20248175041499999</v>
      </c>
      <c r="H13" s="46">
        <v>1085.853165</v>
      </c>
      <c r="I13" s="54">
        <f>0.278*$I$22*I27*$G$13</f>
        <v>3.8926360585415543E-2</v>
      </c>
      <c r="J13" s="54">
        <f>0.278*$I$22*J27*$G$13</f>
        <v>4.0199451092366494E-2</v>
      </c>
      <c r="K13" s="54">
        <f>0.278*$I$22*K27*$G$13</f>
        <v>4.0544695975607427E-2</v>
      </c>
      <c r="L13" s="54">
        <f>0.278*$I$22*L27*$G$13</f>
        <v>4.1450963794114885E-2</v>
      </c>
      <c r="M13" s="171"/>
      <c r="N13" s="59" t="s">
        <v>15</v>
      </c>
    </row>
    <row r="14" spans="1:14">
      <c r="B14" s="7"/>
      <c r="C14" s="36">
        <v>8</v>
      </c>
      <c r="D14" s="37" t="s">
        <v>8</v>
      </c>
      <c r="E14" s="37">
        <v>439265</v>
      </c>
      <c r="F14" s="37">
        <v>993526</v>
      </c>
      <c r="G14" s="55">
        <v>0.73010049768999996</v>
      </c>
      <c r="H14" s="56">
        <v>193.52719999999999</v>
      </c>
      <c r="I14" s="57">
        <f>(0.203*$G$14*K38)/(0.5*$J$40+0.6*$J$42)</f>
        <v>0.58717909160563753</v>
      </c>
      <c r="J14" s="57">
        <f>(0.203*$G$14*L38)/(0.5*$J$40+0.6*$J$42)</f>
        <v>0.64854489855102793</v>
      </c>
      <c r="K14" s="57">
        <f>(0.203*$G$14*M38)/(0.5*$J$40+0.6*$J$42)</f>
        <v>0.66558934015993532</v>
      </c>
      <c r="L14" s="58">
        <f>(0.203*$G$14*N38)/(0.5*$J$40+0.6*$J$42)</f>
        <v>0.71112974272936069</v>
      </c>
      <c r="M14" s="172"/>
      <c r="N14" s="59" t="s">
        <v>33</v>
      </c>
    </row>
    <row r="15" spans="1:14">
      <c r="B15" s="7"/>
      <c r="C15" s="89"/>
      <c r="D15" s="89"/>
      <c r="E15" s="89"/>
      <c r="F15" s="89"/>
      <c r="G15" s="107">
        <f>SUM(G7:G14)</f>
        <v>7.0538313964070003</v>
      </c>
      <c r="H15" s="91"/>
      <c r="I15" s="91"/>
      <c r="J15" s="91"/>
      <c r="K15" s="91"/>
      <c r="L15" s="91"/>
      <c r="M15" s="92"/>
      <c r="N15" s="92"/>
    </row>
    <row r="16" spans="1:14" ht="18">
      <c r="B16" s="7"/>
      <c r="C16" s="5"/>
      <c r="E16" s="176" t="s">
        <v>66</v>
      </c>
      <c r="F16" s="177"/>
      <c r="G16" s="61" t="s">
        <v>68</v>
      </c>
      <c r="H16" s="62" t="s">
        <v>99</v>
      </c>
      <c r="L16" s="7"/>
    </row>
    <row r="17" spans="2:28">
      <c r="B17" s="7"/>
      <c r="C17" s="5"/>
      <c r="D17" s="5"/>
      <c r="F17" s="5"/>
      <c r="G17" s="114"/>
      <c r="H17" s="15"/>
      <c r="I17" s="115"/>
      <c r="J17" s="115"/>
      <c r="K17" s="115"/>
      <c r="L17" s="1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9"/>
    </row>
    <row r="18" spans="2:28" ht="18.75">
      <c r="B18" s="7"/>
      <c r="C18" s="5"/>
      <c r="D18" s="5"/>
      <c r="E18" s="5"/>
      <c r="F18" s="5"/>
      <c r="G18" s="16"/>
      <c r="H18" s="8" t="s">
        <v>20</v>
      </c>
      <c r="I18" s="9"/>
      <c r="J18" s="27"/>
      <c r="K18" s="27"/>
      <c r="L18" s="2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3"/>
    </row>
    <row r="19" spans="2:28">
      <c r="B19" s="7"/>
      <c r="C19" s="5"/>
      <c r="D19" s="5"/>
      <c r="E19" s="5"/>
      <c r="F19" s="5"/>
      <c r="G19" s="25"/>
      <c r="H19" s="10" t="s">
        <v>23</v>
      </c>
      <c r="I19" s="3">
        <v>0.08</v>
      </c>
      <c r="J19" s="27" t="s">
        <v>65</v>
      </c>
      <c r="K19" s="27"/>
      <c r="L19" s="2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3"/>
    </row>
    <row r="20" spans="2:28">
      <c r="G20" s="25"/>
      <c r="H20" s="11" t="s">
        <v>21</v>
      </c>
      <c r="I20" s="12">
        <v>0.11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3"/>
    </row>
    <row r="21" spans="2:28">
      <c r="G21" s="25"/>
      <c r="H21" s="25" t="s">
        <v>22</v>
      </c>
      <c r="I21" s="3">
        <v>0.04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4" t="s">
        <v>19</v>
      </c>
      <c r="V21" s="15"/>
      <c r="W21" s="15"/>
      <c r="X21" s="15"/>
      <c r="Y21" s="15"/>
      <c r="Z21" s="9"/>
      <c r="AA21" s="17"/>
      <c r="AB21" s="3"/>
    </row>
    <row r="22" spans="2:28">
      <c r="G22" s="25"/>
      <c r="H22" s="74" t="s">
        <v>24</v>
      </c>
      <c r="I22" s="64">
        <f>SUM(I19:I21)</f>
        <v>0.23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6"/>
      <c r="V22" s="17"/>
      <c r="W22" s="17">
        <v>2521</v>
      </c>
      <c r="X22" s="17"/>
      <c r="Y22" s="17"/>
      <c r="Z22" s="3"/>
      <c r="AA22" s="17"/>
      <c r="AB22" s="3"/>
    </row>
    <row r="23" spans="2:28">
      <c r="G23" s="25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6"/>
      <c r="V23" s="17">
        <v>11166.23</v>
      </c>
      <c r="W23" s="17"/>
      <c r="X23" s="17" t="s">
        <v>60</v>
      </c>
      <c r="Y23" s="17"/>
      <c r="Z23" s="3"/>
      <c r="AA23" s="17"/>
      <c r="AB23" s="3"/>
    </row>
    <row r="24" spans="2:28">
      <c r="G24" s="25"/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9"/>
      <c r="T24" s="17"/>
      <c r="U24" s="16"/>
      <c r="V24" s="17"/>
      <c r="W24" s="17"/>
      <c r="X24" s="18">
        <f>W22-U25</f>
        <v>388</v>
      </c>
      <c r="Y24" s="17"/>
      <c r="Z24" s="3"/>
      <c r="AA24" s="17"/>
      <c r="AB24" s="3"/>
    </row>
    <row r="25" spans="2:28">
      <c r="G25" s="25"/>
      <c r="H25" s="16"/>
      <c r="I25" s="79">
        <v>10</v>
      </c>
      <c r="J25" s="72">
        <v>25</v>
      </c>
      <c r="K25" s="72">
        <v>50</v>
      </c>
      <c r="L25" s="72">
        <v>100</v>
      </c>
      <c r="M25" s="17" t="s">
        <v>26</v>
      </c>
      <c r="N25" s="17"/>
      <c r="O25" s="17"/>
      <c r="P25" s="17"/>
      <c r="Q25" s="17"/>
      <c r="R25" s="17"/>
      <c r="S25" s="3"/>
      <c r="T25" s="17"/>
      <c r="U25" s="16">
        <v>2133</v>
      </c>
      <c r="V25" s="17"/>
      <c r="W25" s="17"/>
      <c r="X25" s="17"/>
      <c r="Y25" s="17"/>
      <c r="Z25" s="3"/>
      <c r="AA25" s="17"/>
      <c r="AB25" s="3"/>
    </row>
    <row r="26" spans="2:28">
      <c r="G26" s="25"/>
      <c r="H26" s="16"/>
      <c r="I26" s="80">
        <v>180.4</v>
      </c>
      <c r="J26" s="73">
        <v>186.3</v>
      </c>
      <c r="K26" s="73">
        <v>187.9</v>
      </c>
      <c r="L26" s="73">
        <v>192.1</v>
      </c>
      <c r="M26" s="17" t="s">
        <v>29</v>
      </c>
      <c r="N26" s="17"/>
      <c r="O26" s="17"/>
      <c r="P26" s="17"/>
      <c r="Q26" s="17"/>
      <c r="R26" s="17"/>
      <c r="S26" s="3"/>
      <c r="T26" s="17"/>
      <c r="U26" s="16"/>
      <c r="V26" s="19"/>
      <c r="W26" s="20">
        <f>SQRT(V23^2-X24^2)</f>
        <v>11159.48692426762</v>
      </c>
      <c r="X26" s="17"/>
      <c r="Y26" s="17"/>
      <c r="Z26" s="3"/>
      <c r="AA26" s="17"/>
      <c r="AB26" s="3"/>
    </row>
    <row r="27" spans="2:28">
      <c r="G27" s="25"/>
      <c r="H27" s="75" t="s">
        <v>25</v>
      </c>
      <c r="I27" s="65">
        <f>I26/60</f>
        <v>3.0066666666666668</v>
      </c>
      <c r="J27" s="65">
        <f t="shared" ref="J27:L27" si="0">J26/60</f>
        <v>3.105</v>
      </c>
      <c r="K27" s="65">
        <f t="shared" si="0"/>
        <v>3.1316666666666668</v>
      </c>
      <c r="L27" s="65">
        <f t="shared" si="0"/>
        <v>3.2016666666666667</v>
      </c>
      <c r="M27" s="17"/>
      <c r="N27" s="17"/>
      <c r="O27" s="17"/>
      <c r="P27" s="17"/>
      <c r="Q27" s="17"/>
      <c r="R27" s="17"/>
      <c r="S27" s="3"/>
      <c r="T27" s="17"/>
      <c r="U27" s="16"/>
      <c r="V27" s="19" t="s">
        <v>59</v>
      </c>
      <c r="W27" s="17">
        <f>W26-U25</f>
        <v>9026.4869242676195</v>
      </c>
      <c r="X27" s="17"/>
      <c r="Y27" s="17"/>
      <c r="Z27" s="3"/>
      <c r="AA27" s="17"/>
      <c r="AB27" s="3"/>
    </row>
    <row r="28" spans="2:28">
      <c r="G28" s="25"/>
      <c r="H28" s="22"/>
      <c r="I28" s="23"/>
      <c r="J28" s="23"/>
      <c r="K28" s="23"/>
      <c r="L28" s="23"/>
      <c r="M28" s="23"/>
      <c r="N28" s="23"/>
      <c r="O28" s="23"/>
      <c r="P28" s="26">
        <f>(0.0195*(H8/$V$29^0.5)^0.77)/60</f>
        <v>4.4308193151043875E-2</v>
      </c>
      <c r="Q28" s="23"/>
      <c r="R28" s="23"/>
      <c r="S28" s="4"/>
      <c r="T28" s="17"/>
      <c r="U28" s="16"/>
      <c r="V28" s="17"/>
      <c r="W28" s="17"/>
      <c r="X28" s="17"/>
      <c r="Y28" s="17"/>
      <c r="Z28" s="3"/>
      <c r="AA28" s="17"/>
      <c r="AB28" s="3"/>
    </row>
    <row r="29" spans="2:28">
      <c r="G29" s="25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6" t="s">
        <v>18</v>
      </c>
      <c r="V29" s="21">
        <f>(W22-U25)/(W26-U25)</f>
        <v>4.2984607772140665E-2</v>
      </c>
      <c r="W29" s="17"/>
      <c r="X29" s="17"/>
      <c r="Y29" s="21">
        <f>(W22-U25)/(W26-U25)</f>
        <v>4.2984607772140665E-2</v>
      </c>
      <c r="Z29" s="3"/>
      <c r="AA29" s="17"/>
      <c r="AB29" s="3"/>
    </row>
    <row r="30" spans="2:28">
      <c r="F30" s="69" t="s">
        <v>14</v>
      </c>
      <c r="G30" s="116">
        <f>0.278*I22*I27*G8</f>
        <v>2.7226129708872004E-2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2"/>
      <c r="V30" s="29">
        <f>V29</f>
        <v>4.2984607772140665E-2</v>
      </c>
      <c r="W30" s="23"/>
      <c r="X30" s="23"/>
      <c r="Y30" s="23"/>
      <c r="Z30" s="4"/>
      <c r="AA30" s="17"/>
      <c r="AB30" s="3"/>
    </row>
    <row r="31" spans="2:28">
      <c r="G31" s="117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4"/>
    </row>
    <row r="34" spans="1:26" ht="18">
      <c r="E34" s="174" t="s">
        <v>16</v>
      </c>
      <c r="F34" s="175"/>
      <c r="G34" s="63" t="s">
        <v>16</v>
      </c>
      <c r="H34" s="60" t="s">
        <v>98</v>
      </c>
    </row>
    <row r="35" spans="1:26">
      <c r="G35" s="114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9"/>
    </row>
    <row r="36" spans="1:26">
      <c r="G36" s="25"/>
      <c r="H36" s="19" t="s">
        <v>28</v>
      </c>
      <c r="I36" s="17"/>
      <c r="J36" s="17"/>
      <c r="K36" s="17" t="s">
        <v>27</v>
      </c>
      <c r="L36" s="17"/>
      <c r="M36" s="17" t="s">
        <v>27</v>
      </c>
      <c r="N36" s="17"/>
      <c r="O36" s="17"/>
      <c r="P36" s="17"/>
      <c r="Q36" s="17"/>
      <c r="R36" s="17"/>
      <c r="S36" s="17" t="s">
        <v>27</v>
      </c>
      <c r="T36" s="17" t="s">
        <v>37</v>
      </c>
      <c r="U36" s="17"/>
      <c r="V36" s="17"/>
      <c r="W36" s="17"/>
      <c r="X36" s="17"/>
      <c r="Y36" s="17"/>
      <c r="Z36" s="3"/>
    </row>
    <row r="37" spans="1:26">
      <c r="G37" s="25"/>
      <c r="H37" s="17"/>
      <c r="I37" s="17"/>
      <c r="J37" s="17"/>
      <c r="K37" s="71">
        <v>10</v>
      </c>
      <c r="L37" s="17">
        <v>25</v>
      </c>
      <c r="M37" s="17">
        <v>50</v>
      </c>
      <c r="N37" s="17">
        <v>100</v>
      </c>
      <c r="O37" s="17"/>
      <c r="P37" s="17"/>
      <c r="Q37" s="17"/>
      <c r="R37" s="17"/>
      <c r="S37" s="17"/>
      <c r="T37" s="67">
        <v>65</v>
      </c>
      <c r="U37" s="17" t="s">
        <v>38</v>
      </c>
      <c r="V37" s="17" t="s">
        <v>63</v>
      </c>
      <c r="W37" s="17"/>
      <c r="X37" s="17"/>
      <c r="Y37" s="17"/>
      <c r="Z37" s="3"/>
    </row>
    <row r="38" spans="1:26">
      <c r="G38" s="25"/>
      <c r="H38" s="17"/>
      <c r="I38" s="17"/>
      <c r="J38" s="17"/>
      <c r="K38" s="81">
        <f>((I26-0.2*$P$38)^2)/(I26+0.8*$P$38)</f>
        <v>21.667562207034358</v>
      </c>
      <c r="L38" s="66">
        <f>((J26-0.2*$P$38)^2)/(J26+0.8*$P$38)</f>
        <v>23.932028803994061</v>
      </c>
      <c r="M38" s="66">
        <f>((K26-0.2*$P$38)^2)/(K26+0.8*$P$38)</f>
        <v>24.560987675528953</v>
      </c>
      <c r="N38" s="66">
        <f>((L26-0.2*$P$38)^2)/(L26+0.8*$P$38)</f>
        <v>26.241479232045641</v>
      </c>
      <c r="O38" s="17"/>
      <c r="P38" s="66">
        <f>25.4*(1000-10)/T37</f>
        <v>386.86153846153849</v>
      </c>
      <c r="Q38" s="17" t="s">
        <v>27</v>
      </c>
      <c r="R38" s="17"/>
      <c r="S38" s="17"/>
      <c r="T38" s="17">
        <v>76</v>
      </c>
      <c r="U38" s="17" t="s">
        <v>36</v>
      </c>
      <c r="V38" s="17"/>
      <c r="W38" s="17"/>
      <c r="X38" s="17"/>
      <c r="Y38" s="17"/>
      <c r="Z38" s="3"/>
    </row>
    <row r="39" spans="1:26" ht="15.75">
      <c r="F39" s="70" t="s">
        <v>14</v>
      </c>
      <c r="G39" s="118">
        <f>(0.203*G7*K38)/(0.5*J40+0.6*J42)</f>
        <v>3.9107753012007742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>
        <v>84</v>
      </c>
      <c r="U39" s="17" t="s">
        <v>24</v>
      </c>
      <c r="V39" s="17"/>
      <c r="W39" s="17"/>
      <c r="X39" s="17"/>
      <c r="Y39" s="17"/>
      <c r="Z39" s="3"/>
    </row>
    <row r="40" spans="1:26">
      <c r="G40" s="25"/>
      <c r="H40" s="17"/>
      <c r="I40" s="17" t="s">
        <v>64</v>
      </c>
      <c r="J40" s="67">
        <v>10</v>
      </c>
      <c r="K40" s="17" t="s">
        <v>31</v>
      </c>
      <c r="L40" s="17"/>
      <c r="M40" s="17"/>
      <c r="N40" s="17"/>
      <c r="O40" s="17"/>
      <c r="P40" s="17"/>
      <c r="Q40" s="17"/>
      <c r="R40" s="17"/>
      <c r="S40" s="17"/>
      <c r="T40" s="17">
        <v>88</v>
      </c>
      <c r="U40" s="17" t="s">
        <v>30</v>
      </c>
      <c r="V40" s="17"/>
      <c r="W40" s="17"/>
      <c r="X40" s="17"/>
      <c r="Y40" s="17"/>
      <c r="Z40" s="3"/>
    </row>
    <row r="41" spans="1:26">
      <c r="G41" s="25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3"/>
    </row>
    <row r="42" spans="1:26">
      <c r="G42" s="25"/>
      <c r="H42" s="17"/>
      <c r="I42" s="17" t="s">
        <v>67</v>
      </c>
      <c r="J42" s="68">
        <f>(0.0195*(H7/V29^0.5)^0.77)/60</f>
        <v>0.78188134301802192</v>
      </c>
      <c r="K42" s="17" t="s">
        <v>35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3"/>
    </row>
    <row r="43" spans="1:26">
      <c r="G43" s="117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4"/>
    </row>
    <row r="45" spans="1:26" ht="15.75">
      <c r="A45" s="127">
        <v>2</v>
      </c>
      <c r="B45" s="129" t="s">
        <v>61</v>
      </c>
      <c r="G45" s="1"/>
      <c r="H45" s="1"/>
      <c r="I45" s="1"/>
    </row>
    <row r="46" spans="1:26">
      <c r="E46" s="180" t="s">
        <v>44</v>
      </c>
      <c r="F46" s="181"/>
      <c r="G46" s="1" t="s">
        <v>43</v>
      </c>
      <c r="H46" s="1"/>
      <c r="I46" s="1"/>
    </row>
    <row r="47" spans="1:26">
      <c r="G47" s="119"/>
      <c r="H47" s="120"/>
      <c r="I47" s="120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9"/>
    </row>
    <row r="48" spans="1:26" ht="18.75">
      <c r="G48" s="178" t="s">
        <v>39</v>
      </c>
      <c r="H48" s="179"/>
      <c r="I48" s="82"/>
      <c r="J48" s="17" t="s">
        <v>41</v>
      </c>
      <c r="K48" s="77">
        <v>10</v>
      </c>
      <c r="L48" s="76">
        <v>20</v>
      </c>
      <c r="M48" s="76">
        <v>30</v>
      </c>
      <c r="N48" s="76">
        <v>60</v>
      </c>
      <c r="O48" s="76">
        <v>90</v>
      </c>
      <c r="P48" s="76">
        <v>120</v>
      </c>
      <c r="Q48" s="76">
        <v>150</v>
      </c>
      <c r="R48" s="76">
        <v>180</v>
      </c>
      <c r="S48" s="76">
        <v>210</v>
      </c>
      <c r="T48" s="76">
        <v>240</v>
      </c>
      <c r="U48" s="17"/>
      <c r="V48" s="3"/>
    </row>
    <row r="49" spans="7:22">
      <c r="G49" s="121">
        <f xml:space="preserve"> (0.21 + 0.00744*K50)</f>
        <v>0.33915839999999997</v>
      </c>
      <c r="H49" s="28" t="s">
        <v>45</v>
      </c>
      <c r="I49" s="17"/>
      <c r="J49" s="17" t="s">
        <v>40</v>
      </c>
      <c r="K49" s="78">
        <v>173.6</v>
      </c>
      <c r="L49" s="73">
        <v>144.9</v>
      </c>
      <c r="M49" s="73">
        <v>106.5</v>
      </c>
      <c r="N49" s="73">
        <v>61.9</v>
      </c>
      <c r="O49" s="73">
        <v>42.2</v>
      </c>
      <c r="P49" s="73">
        <v>31.7</v>
      </c>
      <c r="Q49" s="73">
        <v>25.4</v>
      </c>
      <c r="R49" s="73">
        <v>21.2</v>
      </c>
      <c r="S49" s="73">
        <v>18.100000000000001</v>
      </c>
      <c r="T49" s="73">
        <v>15.9</v>
      </c>
      <c r="U49" s="17"/>
      <c r="V49" s="3"/>
    </row>
    <row r="50" spans="7:22">
      <c r="G50" s="122">
        <f>G49*J53</f>
        <v>3.3915839999999999</v>
      </c>
      <c r="H50" s="28" t="s">
        <v>42</v>
      </c>
      <c r="I50" s="17"/>
      <c r="J50" s="17"/>
      <c r="K50" s="83">
        <f>K49/K48</f>
        <v>17.36</v>
      </c>
      <c r="L50" s="84" t="s">
        <v>73</v>
      </c>
      <c r="M50" s="17"/>
      <c r="N50" s="17"/>
      <c r="O50" s="17"/>
      <c r="P50" s="17"/>
      <c r="Q50" s="17"/>
      <c r="R50" s="17"/>
      <c r="S50" s="17"/>
      <c r="T50" s="17"/>
      <c r="U50" s="17"/>
      <c r="V50" s="3"/>
    </row>
    <row r="51" spans="7:22">
      <c r="G51" s="16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3"/>
    </row>
    <row r="52" spans="7:22">
      <c r="G52" s="123">
        <f>G50*G15^(5/6)</f>
        <v>17.275215489417</v>
      </c>
      <c r="H52" s="124" t="s">
        <v>70</v>
      </c>
      <c r="I52" s="23" t="s">
        <v>69</v>
      </c>
      <c r="J52" s="125"/>
      <c r="K52" s="126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4"/>
    </row>
    <row r="53" spans="7:22">
      <c r="G53" s="24"/>
      <c r="H53" s="86" t="s">
        <v>71</v>
      </c>
      <c r="I53" s="85" t="s">
        <v>72</v>
      </c>
      <c r="J53" s="86">
        <v>10</v>
      </c>
      <c r="K53" s="85" t="s">
        <v>42</v>
      </c>
    </row>
    <row r="54" spans="7:22">
      <c r="G54" s="24"/>
    </row>
  </sheetData>
  <mergeCells count="7">
    <mergeCell ref="M7:M14"/>
    <mergeCell ref="N5:N6"/>
    <mergeCell ref="E34:F34"/>
    <mergeCell ref="E16:F16"/>
    <mergeCell ref="G48:H48"/>
    <mergeCell ref="E46:F46"/>
    <mergeCell ref="I5:L5"/>
  </mergeCells>
  <pageMargins left="0.7" right="0.7" top="0.75" bottom="0.75" header="0.3" footer="0.3"/>
  <pageSetup orientation="portrait" r:id="rId1"/>
  <drawing r:id="rId2"/>
  <legacyDrawing r:id="rId3"/>
  <oleObjects>
    <oleObject progId="Equation.3" shapeId="4097" r:id="rId4"/>
    <oleObject progId="Equation.3" shapeId="4098" r:id="rId5"/>
    <oleObject progId="Equation.3" shapeId="4100" r:id="rId6"/>
    <oleObject progId="Equation.3" shapeId="4101" r:id="rId7"/>
    <oleObject progId="Equation.3" shapeId="4102" r:id="rId8"/>
    <oleObject progId="Equation.3" shapeId="4103" r:id="rId9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2:S62"/>
  <sheetViews>
    <sheetView zoomScale="75" zoomScaleNormal="75" workbookViewId="0"/>
  </sheetViews>
  <sheetFormatPr defaultRowHeight="15"/>
  <cols>
    <col min="1" max="1" width="5" style="92" customWidth="1"/>
    <col min="2" max="2" width="9.140625" style="92"/>
    <col min="3" max="3" width="5.42578125" style="93" customWidth="1"/>
    <col min="4" max="4" width="10.28515625" style="93" customWidth="1"/>
    <col min="5" max="5" width="10.7109375" style="93" customWidth="1"/>
    <col min="6" max="6" width="9.28515625" style="93" customWidth="1"/>
    <col min="7" max="7" width="9.85546875" style="94" customWidth="1"/>
    <col min="8" max="8" width="9.7109375" style="92" customWidth="1"/>
    <col min="9" max="9" width="9.42578125" style="92" customWidth="1"/>
    <col min="10" max="10" width="8" style="92" customWidth="1"/>
    <col min="11" max="11" width="9.85546875" style="92" customWidth="1"/>
    <col min="12" max="12" width="9.28515625" style="92" customWidth="1"/>
    <col min="13" max="17" width="9.28515625" style="92" bestFit="1" customWidth="1"/>
    <col min="18" max="22" width="9.140625" style="92"/>
    <col min="23" max="23" width="9.28515625" style="92" bestFit="1" customWidth="1"/>
    <col min="24" max="16384" width="9.140625" style="92"/>
  </cols>
  <sheetData>
    <row r="2" spans="1:19" ht="18.75">
      <c r="A2" s="87" t="s">
        <v>126</v>
      </c>
      <c r="B2" s="88"/>
      <c r="C2" s="89"/>
      <c r="D2" s="89"/>
      <c r="E2" s="89"/>
      <c r="F2" s="89"/>
      <c r="G2" s="90"/>
      <c r="H2" s="91"/>
      <c r="I2" s="91"/>
      <c r="J2" s="91"/>
      <c r="K2" s="91"/>
      <c r="L2" s="91"/>
    </row>
    <row r="3" spans="1:19">
      <c r="B3" s="88"/>
      <c r="C3" s="89"/>
      <c r="D3" s="89"/>
      <c r="E3" s="89"/>
      <c r="F3" s="89"/>
      <c r="G3" s="90"/>
      <c r="H3" s="91"/>
      <c r="I3" s="91"/>
      <c r="J3" s="91"/>
      <c r="K3" s="91"/>
      <c r="L3" s="91"/>
    </row>
    <row r="4" spans="1:19">
      <c r="D4" s="93" t="s">
        <v>78</v>
      </c>
    </row>
    <row r="6" spans="1:19" ht="18.75">
      <c r="C6" s="164" t="s">
        <v>96</v>
      </c>
      <c r="D6" s="163" t="s">
        <v>127</v>
      </c>
    </row>
    <row r="8" spans="1:19" ht="24">
      <c r="C8" s="92"/>
      <c r="D8" s="95" t="s">
        <v>58</v>
      </c>
      <c r="I8" s="92" t="s">
        <v>77</v>
      </c>
    </row>
    <row r="10" spans="1:19">
      <c r="D10" s="92" t="s">
        <v>75</v>
      </c>
      <c r="E10" s="92"/>
      <c r="F10" s="92"/>
      <c r="G10" s="92"/>
    </row>
    <row r="11" spans="1:19">
      <c r="D11" s="96" t="s">
        <v>108</v>
      </c>
      <c r="E11" s="97" t="s">
        <v>46</v>
      </c>
      <c r="F11" s="97" t="s">
        <v>47</v>
      </c>
      <c r="G11" s="97" t="s">
        <v>48</v>
      </c>
      <c r="H11" s="97" t="s">
        <v>49</v>
      </c>
      <c r="I11" s="97" t="s">
        <v>50</v>
      </c>
      <c r="J11" s="97" t="s">
        <v>51</v>
      </c>
      <c r="K11" s="97" t="s">
        <v>52</v>
      </c>
      <c r="L11" s="97" t="s">
        <v>53</v>
      </c>
      <c r="M11" s="97" t="s">
        <v>54</v>
      </c>
      <c r="N11" s="97" t="s">
        <v>55</v>
      </c>
      <c r="O11" s="97" t="s">
        <v>56</v>
      </c>
      <c r="P11" s="97" t="s">
        <v>57</v>
      </c>
      <c r="Q11" s="97" t="s">
        <v>76</v>
      </c>
    </row>
    <row r="12" spans="1:19" ht="15" customHeight="1">
      <c r="D12" s="98">
        <v>50</v>
      </c>
      <c r="E12" s="154">
        <v>183.49526468800582</v>
      </c>
      <c r="F12" s="154">
        <v>165.14573821920524</v>
      </c>
      <c r="G12" s="154">
        <v>125.38843087013731</v>
      </c>
      <c r="H12" s="154">
        <v>125.38843087013731</v>
      </c>
      <c r="I12" s="154">
        <v>122.33017645867055</v>
      </c>
      <c r="J12" s="154">
        <v>356.79634800445575</v>
      </c>
      <c r="K12" s="154">
        <v>2986.895141865873</v>
      </c>
      <c r="L12" s="154">
        <v>9777.2393534592447</v>
      </c>
      <c r="M12" s="154">
        <v>6234.7613268435753</v>
      </c>
      <c r="N12" s="154">
        <v>911.35981461709559</v>
      </c>
      <c r="O12" s="154">
        <v>249.75744360311904</v>
      </c>
      <c r="P12" s="154">
        <v>122.33017645867055</v>
      </c>
      <c r="Q12" s="154">
        <f>MIN(E12:P12)</f>
        <v>122.33017645867055</v>
      </c>
      <c r="R12" s="185" t="s">
        <v>109</v>
      </c>
      <c r="S12" s="186"/>
    </row>
    <row r="13" spans="1:19">
      <c r="D13" s="98">
        <v>60</v>
      </c>
      <c r="E13" s="154">
        <v>168.20399263067202</v>
      </c>
      <c r="F13" s="154">
        <v>151.89330243618261</v>
      </c>
      <c r="G13" s="154">
        <v>122.33017645867055</v>
      </c>
      <c r="H13" s="154">
        <v>122.35017685867101</v>
      </c>
      <c r="I13" s="154">
        <v>108.05632453849</v>
      </c>
      <c r="J13" s="154">
        <v>301.74776859805399</v>
      </c>
      <c r="K13" s="154">
        <v>2810.5358041379559</v>
      </c>
      <c r="L13" s="154">
        <v>9240.0059951782496</v>
      </c>
      <c r="M13" s="154">
        <v>5652.6735705277351</v>
      </c>
      <c r="N13" s="154">
        <v>742.13640384926805</v>
      </c>
      <c r="O13" s="154">
        <v>151.89330243618261</v>
      </c>
      <c r="P13" s="154">
        <v>116.21366763573701</v>
      </c>
      <c r="Q13" s="154">
        <f t="shared" ref="Q13:Q16" si="0">MIN(E13:P13)</f>
        <v>108.05632453849</v>
      </c>
      <c r="R13" s="187"/>
      <c r="S13" s="188"/>
    </row>
    <row r="14" spans="1:19" ht="15" customHeight="1">
      <c r="D14" s="98">
        <v>70</v>
      </c>
      <c r="E14" s="154">
        <v>122.33017645867055</v>
      </c>
      <c r="F14" s="154">
        <v>151.89330243618261</v>
      </c>
      <c r="G14" s="154">
        <v>108.05862293809101</v>
      </c>
      <c r="H14" s="154">
        <v>108.05832213819301</v>
      </c>
      <c r="I14" s="154">
        <v>108.06832258849199</v>
      </c>
      <c r="J14" s="154">
        <v>284.41766026640909</v>
      </c>
      <c r="K14" s="154">
        <v>1729.9525787530329</v>
      </c>
      <c r="L14" s="154">
        <v>7634.4224291581977</v>
      </c>
      <c r="M14" s="154">
        <v>5286.7024592888793</v>
      </c>
      <c r="N14" s="154">
        <v>689.12666071717751</v>
      </c>
      <c r="O14" s="154">
        <v>122.33017645867055</v>
      </c>
      <c r="P14" s="154">
        <v>110.40298425395017</v>
      </c>
      <c r="Q14" s="154">
        <f>MIN(E14:P14)</f>
        <v>108.05832213819301</v>
      </c>
      <c r="R14" s="187"/>
      <c r="S14" s="188"/>
    </row>
    <row r="15" spans="1:19">
      <c r="D15" s="98">
        <v>80</v>
      </c>
      <c r="E15" s="154">
        <v>68.301015189424405</v>
      </c>
      <c r="F15" s="154">
        <v>150.873884299027</v>
      </c>
      <c r="G15" s="154">
        <v>108.06822253842201</v>
      </c>
      <c r="H15" s="154">
        <v>94.805886755469672</v>
      </c>
      <c r="I15" s="154">
        <v>94.805886755469672</v>
      </c>
      <c r="J15" s="154">
        <v>205.92246370542878</v>
      </c>
      <c r="K15" s="154">
        <v>1317.0882332050196</v>
      </c>
      <c r="L15" s="154">
        <v>4524.1776926964994</v>
      </c>
      <c r="M15" s="154">
        <v>4938.061456381668</v>
      </c>
      <c r="N15" s="154">
        <v>613.68971856766393</v>
      </c>
      <c r="O15" s="154">
        <v>80.534032835291455</v>
      </c>
      <c r="P15" s="154">
        <v>104.88283504125265</v>
      </c>
      <c r="Q15" s="154">
        <f t="shared" si="0"/>
        <v>68.301015189424405</v>
      </c>
      <c r="R15" s="187"/>
      <c r="S15" s="188"/>
    </row>
    <row r="16" spans="1:19">
      <c r="D16" s="98">
        <v>90</v>
      </c>
      <c r="E16" s="154">
        <v>56.06799754355734</v>
      </c>
      <c r="F16" s="154">
        <v>137.62144851600439</v>
      </c>
      <c r="G16" s="154">
        <v>94.805886755469672</v>
      </c>
      <c r="H16" s="154">
        <v>80.534032835291455</v>
      </c>
      <c r="I16" s="154">
        <v>80.534032835291455</v>
      </c>
      <c r="J16" s="154">
        <v>168.20399263067202</v>
      </c>
      <c r="K16" s="154">
        <v>1017.3793008812768</v>
      </c>
      <c r="L16" s="154">
        <v>3297.8176736983269</v>
      </c>
      <c r="M16" s="154">
        <v>4288.6921030135582</v>
      </c>
      <c r="N16" s="154">
        <v>519.90324994934986</v>
      </c>
      <c r="O16" s="154">
        <v>56.06799754355734</v>
      </c>
      <c r="P16" s="154">
        <v>68.301015189424405</v>
      </c>
      <c r="Q16" s="154">
        <f t="shared" si="0"/>
        <v>56.06799754355734</v>
      </c>
      <c r="R16" s="189"/>
      <c r="S16" s="190"/>
    </row>
    <row r="18" spans="4:17" ht="15.75">
      <c r="D18" s="199" t="s">
        <v>92</v>
      </c>
    </row>
    <row r="19" spans="4:17">
      <c r="D19" s="93" t="s">
        <v>74</v>
      </c>
      <c r="E19" s="145" t="s">
        <v>46</v>
      </c>
      <c r="F19" s="145" t="s">
        <v>47</v>
      </c>
      <c r="G19" s="145" t="s">
        <v>48</v>
      </c>
      <c r="H19" s="145" t="s">
        <v>49</v>
      </c>
      <c r="I19" s="145" t="s">
        <v>50</v>
      </c>
      <c r="J19" s="145" t="s">
        <v>51</v>
      </c>
      <c r="K19" s="145" t="s">
        <v>52</v>
      </c>
      <c r="L19" s="145" t="s">
        <v>53</v>
      </c>
      <c r="M19" s="145" t="s">
        <v>54</v>
      </c>
      <c r="N19" s="145" t="s">
        <v>55</v>
      </c>
      <c r="O19" s="145" t="s">
        <v>56</v>
      </c>
      <c r="P19" s="145" t="s">
        <v>57</v>
      </c>
    </row>
    <row r="20" spans="4:17">
      <c r="D20" s="99" t="s">
        <v>121</v>
      </c>
      <c r="E20" s="146">
        <v>390.65569114467002</v>
      </c>
      <c r="F20" s="146">
        <v>344.91219789886009</v>
      </c>
      <c r="G20" s="146">
        <v>518.86597138660852</v>
      </c>
      <c r="H20" s="146">
        <v>494.11652751795026</v>
      </c>
      <c r="I20" s="146">
        <v>905.73361417154865</v>
      </c>
      <c r="J20" s="146">
        <v>5372.5452764956817</v>
      </c>
      <c r="K20" s="146">
        <v>16716.896122782706</v>
      </c>
      <c r="L20" s="146">
        <v>23747.360028635663</v>
      </c>
      <c r="M20" s="146">
        <v>21134.479467163666</v>
      </c>
      <c r="N20" s="146">
        <v>7207.1571710638236</v>
      </c>
      <c r="O20" s="146">
        <v>1404.8908814353213</v>
      </c>
      <c r="P20" s="146">
        <v>540.40635845395059</v>
      </c>
      <c r="Q20" s="144" t="s">
        <v>117</v>
      </c>
    </row>
    <row r="21" spans="4:17">
      <c r="D21" s="99" t="s">
        <v>122</v>
      </c>
      <c r="E21" s="158">
        <f>E15</f>
        <v>68.301015189424405</v>
      </c>
      <c r="F21" s="158">
        <f t="shared" ref="F21:P21" si="1">F15</f>
        <v>150.873884299027</v>
      </c>
      <c r="G21" s="158">
        <f t="shared" si="1"/>
        <v>108.06822253842201</v>
      </c>
      <c r="H21" s="158">
        <f t="shared" si="1"/>
        <v>94.805886755469672</v>
      </c>
      <c r="I21" s="158">
        <f t="shared" si="1"/>
        <v>94.805886755469672</v>
      </c>
      <c r="J21" s="158">
        <f t="shared" si="1"/>
        <v>205.92246370542878</v>
      </c>
      <c r="K21" s="158">
        <f t="shared" si="1"/>
        <v>1317.0882332050196</v>
      </c>
      <c r="L21" s="158">
        <f t="shared" si="1"/>
        <v>4524.1776926964994</v>
      </c>
      <c r="M21" s="158">
        <f t="shared" si="1"/>
        <v>4938.061456381668</v>
      </c>
      <c r="N21" s="158">
        <f t="shared" si="1"/>
        <v>613.68971856766393</v>
      </c>
      <c r="O21" s="158">
        <f t="shared" si="1"/>
        <v>80.534032835291455</v>
      </c>
      <c r="P21" s="158">
        <f t="shared" si="1"/>
        <v>104.88283504125265</v>
      </c>
      <c r="Q21" s="92" t="s">
        <v>118</v>
      </c>
    </row>
    <row r="22" spans="4:17">
      <c r="D22" s="99" t="s">
        <v>123</v>
      </c>
      <c r="E22" s="157">
        <v>250.1</v>
      </c>
      <c r="F22" s="157">
        <v>185.7</v>
      </c>
      <c r="G22" s="157">
        <v>2.2000000000000002</v>
      </c>
      <c r="H22" s="103">
        <v>0</v>
      </c>
      <c r="I22" s="157">
        <v>3.4</v>
      </c>
      <c r="J22" s="103">
        <v>0</v>
      </c>
      <c r="K22" s="103">
        <v>0</v>
      </c>
      <c r="L22" s="103">
        <v>0</v>
      </c>
      <c r="M22" s="157">
        <v>0.9</v>
      </c>
      <c r="N22" s="157">
        <v>37.1</v>
      </c>
      <c r="O22" s="157">
        <v>135</v>
      </c>
      <c r="P22" s="157">
        <v>230.7</v>
      </c>
      <c r="Q22" s="92" t="s">
        <v>119</v>
      </c>
    </row>
    <row r="23" spans="4:17">
      <c r="D23" s="99" t="s">
        <v>120</v>
      </c>
      <c r="E23" s="147">
        <f>IF(E21-E22&lt;0,0,E21-E22)</f>
        <v>0</v>
      </c>
      <c r="F23" s="147">
        <f t="shared" ref="F23:P23" si="2">IF(F21-F22&lt;0,0,F21-F22)</f>
        <v>0</v>
      </c>
      <c r="G23" s="146">
        <f t="shared" si="2"/>
        <v>105.868222538422</v>
      </c>
      <c r="H23" s="146">
        <f t="shared" si="2"/>
        <v>94.805886755469672</v>
      </c>
      <c r="I23" s="146">
        <f t="shared" si="2"/>
        <v>91.405886755469666</v>
      </c>
      <c r="J23" s="146">
        <f t="shared" si="2"/>
        <v>205.92246370542878</v>
      </c>
      <c r="K23" s="146">
        <f t="shared" si="2"/>
        <v>1317.0882332050196</v>
      </c>
      <c r="L23" s="146">
        <f t="shared" si="2"/>
        <v>4524.1776926964994</v>
      </c>
      <c r="M23" s="146">
        <f t="shared" si="2"/>
        <v>4937.1614563816684</v>
      </c>
      <c r="N23" s="146">
        <f t="shared" si="2"/>
        <v>576.58971856766391</v>
      </c>
      <c r="O23" s="147">
        <f t="shared" si="2"/>
        <v>0</v>
      </c>
      <c r="P23" s="147">
        <f t="shared" si="2"/>
        <v>0</v>
      </c>
      <c r="Q23" s="92" t="s">
        <v>112</v>
      </c>
    </row>
    <row r="25" spans="4:17">
      <c r="D25" s="99"/>
      <c r="E25" s="140"/>
      <c r="F25" s="141"/>
      <c r="G25" s="141"/>
      <c r="H25" s="142"/>
      <c r="I25" s="142"/>
      <c r="J25" s="142"/>
      <c r="K25" s="142"/>
      <c r="L25" s="142"/>
      <c r="M25" s="142"/>
      <c r="N25" s="142"/>
      <c r="O25" s="142"/>
      <c r="P25" s="143"/>
    </row>
    <row r="26" spans="4:17">
      <c r="D26" s="156" t="s">
        <v>88</v>
      </c>
      <c r="E26" s="148">
        <f>0.25*E20</f>
        <v>97.663922786167504</v>
      </c>
      <c r="F26" s="149">
        <f t="shared" ref="F26:P26" si="3">0.25*F20</f>
        <v>86.228049474715021</v>
      </c>
      <c r="G26" s="150">
        <f>0.25*G20</f>
        <v>129.71649284665213</v>
      </c>
      <c r="H26" s="151">
        <f>0.25*H20</f>
        <v>123.52913187948757</v>
      </c>
      <c r="I26" s="151">
        <f t="shared" si="3"/>
        <v>226.43340354288716</v>
      </c>
      <c r="J26" s="151">
        <f t="shared" si="3"/>
        <v>1343.1363191239204</v>
      </c>
      <c r="K26" s="151">
        <f t="shared" si="3"/>
        <v>4179.2240306956764</v>
      </c>
      <c r="L26" s="151">
        <f t="shared" si="3"/>
        <v>5936.8400071589158</v>
      </c>
      <c r="M26" s="151">
        <f t="shared" si="3"/>
        <v>5283.6198667909166</v>
      </c>
      <c r="N26" s="152">
        <f t="shared" si="3"/>
        <v>1801.7892927659559</v>
      </c>
      <c r="O26" s="149">
        <f t="shared" si="3"/>
        <v>351.22272035883032</v>
      </c>
      <c r="P26" s="153">
        <f t="shared" si="3"/>
        <v>135.10158961348765</v>
      </c>
      <c r="Q26" s="155" t="s">
        <v>113</v>
      </c>
    </row>
    <row r="27" spans="4:17">
      <c r="E27" s="148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53"/>
    </row>
    <row r="28" spans="4:17">
      <c r="D28" s="102" t="s">
        <v>115</v>
      </c>
      <c r="E28" s="159">
        <f>E20-(E21+E26)</f>
        <v>224.69075316907811</v>
      </c>
      <c r="F28" s="160">
        <f t="shared" ref="F28:P28" si="4">F20-(F21+F26)</f>
        <v>107.81026412511807</v>
      </c>
      <c r="G28" s="160">
        <f t="shared" si="4"/>
        <v>281.08125600153437</v>
      </c>
      <c r="H28" s="160">
        <f t="shared" si="4"/>
        <v>275.78150888299302</v>
      </c>
      <c r="I28" s="160">
        <f t="shared" si="4"/>
        <v>584.49432387319189</v>
      </c>
      <c r="J28" s="160">
        <f t="shared" si="4"/>
        <v>3823.4864936663325</v>
      </c>
      <c r="K28" s="160">
        <f t="shared" si="4"/>
        <v>11220.58385888201</v>
      </c>
      <c r="L28" s="160">
        <f t="shared" si="4"/>
        <v>13286.342328780247</v>
      </c>
      <c r="M28" s="160">
        <f t="shared" si="4"/>
        <v>10912.798143991082</v>
      </c>
      <c r="N28" s="160">
        <f t="shared" si="4"/>
        <v>4791.6781597302033</v>
      </c>
      <c r="O28" s="160">
        <f t="shared" si="4"/>
        <v>973.13412824119951</v>
      </c>
      <c r="P28" s="161">
        <f t="shared" si="4"/>
        <v>300.42193379921031</v>
      </c>
      <c r="Q28" s="144" t="s">
        <v>116</v>
      </c>
    </row>
    <row r="29" spans="4:17">
      <c r="D29" s="165" t="s">
        <v>114</v>
      </c>
      <c r="E29" s="203">
        <f t="shared" ref="E29:P29" si="5">E20-E21-E26-E28</f>
        <v>0</v>
      </c>
      <c r="F29" s="203">
        <f t="shared" si="5"/>
        <v>0</v>
      </c>
      <c r="G29" s="203">
        <f t="shared" si="5"/>
        <v>0</v>
      </c>
      <c r="H29" s="203">
        <f t="shared" si="5"/>
        <v>0</v>
      </c>
      <c r="I29" s="203">
        <f t="shared" si="5"/>
        <v>0</v>
      </c>
      <c r="J29" s="203">
        <f t="shared" si="5"/>
        <v>0</v>
      </c>
      <c r="K29" s="203">
        <f t="shared" si="5"/>
        <v>0</v>
      </c>
      <c r="L29" s="203">
        <f t="shared" si="5"/>
        <v>0</v>
      </c>
      <c r="M29" s="203">
        <f t="shared" si="5"/>
        <v>0</v>
      </c>
      <c r="N29" s="203">
        <f t="shared" si="5"/>
        <v>0</v>
      </c>
      <c r="O29" s="203">
        <f t="shared" si="5"/>
        <v>0</v>
      </c>
      <c r="P29" s="203">
        <f t="shared" si="5"/>
        <v>0</v>
      </c>
    </row>
    <row r="30" spans="4:17">
      <c r="D30" s="135" t="s">
        <v>125</v>
      </c>
      <c r="E30" s="200">
        <f>IF(E21-E22&lt;0,E21-E22,"NA")</f>
        <v>-181.79898481057558</v>
      </c>
      <c r="F30" s="201">
        <f t="shared" ref="F30:P30" si="6">IF(F21-F22&lt;0,F21-F22,"NA")</f>
        <v>-34.826115700972991</v>
      </c>
      <c r="G30" s="201"/>
      <c r="H30" s="201"/>
      <c r="I30" s="201"/>
      <c r="J30" s="201"/>
      <c r="K30" s="201"/>
      <c r="L30" s="201"/>
      <c r="M30" s="201"/>
      <c r="N30" s="201"/>
      <c r="O30" s="201">
        <f t="shared" si="6"/>
        <v>-54.465967164708545</v>
      </c>
      <c r="P30" s="202">
        <f t="shared" si="6"/>
        <v>-125.81716495874734</v>
      </c>
    </row>
    <row r="31" spans="4:17">
      <c r="D31" s="135" t="s">
        <v>124</v>
      </c>
      <c r="E31" s="195">
        <f>IF((E21+E26)+E30-E26&lt;0,(E20-(E21+E26))+E30-E26,"NA")</f>
        <v>-54.772154427664972</v>
      </c>
      <c r="F31" s="196">
        <f t="shared" ref="F31:P31" si="7">IF(F28+F30-F26&lt;0,F28+F30-F26,"NA")</f>
        <v>-13.243901050569946</v>
      </c>
      <c r="G31" s="197" t="str">
        <f>IF(G28+G30-G26&lt;0,G28+G30-G26,"NA")</f>
        <v>NA</v>
      </c>
      <c r="H31" s="197" t="str">
        <f t="shared" si="7"/>
        <v>NA</v>
      </c>
      <c r="I31" s="197" t="str">
        <f t="shared" si="7"/>
        <v>NA</v>
      </c>
      <c r="J31" s="197" t="str">
        <f t="shared" si="7"/>
        <v>NA</v>
      </c>
      <c r="K31" s="197" t="str">
        <f t="shared" si="7"/>
        <v>NA</v>
      </c>
      <c r="L31" s="197" t="str">
        <f t="shared" si="7"/>
        <v>NA</v>
      </c>
      <c r="M31" s="197" t="str">
        <f t="shared" si="7"/>
        <v>NA</v>
      </c>
      <c r="N31" s="197" t="str">
        <f t="shared" si="7"/>
        <v>NA</v>
      </c>
      <c r="O31" s="197" t="str">
        <f t="shared" si="7"/>
        <v>NA</v>
      </c>
      <c r="P31" s="198" t="str">
        <f t="shared" si="7"/>
        <v>NA</v>
      </c>
      <c r="Q31" s="92" t="s">
        <v>130</v>
      </c>
    </row>
    <row r="32" spans="4:17">
      <c r="D32" s="135"/>
      <c r="E32" s="193"/>
      <c r="F32" s="193"/>
      <c r="G32" s="194"/>
      <c r="H32" s="194"/>
      <c r="I32" s="194"/>
      <c r="J32" s="194"/>
      <c r="K32" s="194"/>
      <c r="L32" s="194"/>
      <c r="M32" s="194"/>
      <c r="N32" s="194"/>
      <c r="O32" s="194"/>
      <c r="P32" s="194"/>
    </row>
    <row r="34" spans="3:17" ht="18.75">
      <c r="C34" s="162" t="s">
        <v>95</v>
      </c>
      <c r="D34" s="163" t="s">
        <v>128</v>
      </c>
    </row>
    <row r="36" spans="3:17">
      <c r="Q36" s="104" t="s">
        <v>86</v>
      </c>
    </row>
    <row r="37" spans="3:17">
      <c r="J37" s="100" t="s">
        <v>82</v>
      </c>
      <c r="L37" s="104" t="s">
        <v>79</v>
      </c>
      <c r="Q37" s="104" t="s">
        <v>97</v>
      </c>
    </row>
    <row r="38" spans="3:17">
      <c r="L38" s="104" t="s">
        <v>80</v>
      </c>
      <c r="Q38" s="104" t="s">
        <v>84</v>
      </c>
    </row>
    <row r="39" spans="3:17">
      <c r="L39" s="104" t="s">
        <v>81</v>
      </c>
      <c r="Q39" s="104" t="s">
        <v>85</v>
      </c>
    </row>
    <row r="40" spans="3:17">
      <c r="Q40" s="104"/>
    </row>
    <row r="41" spans="3:17">
      <c r="Q41" s="104"/>
    </row>
    <row r="42" spans="3:17">
      <c r="G42" s="191" t="s">
        <v>87</v>
      </c>
      <c r="Q42" s="104"/>
    </row>
    <row r="43" spans="3:17" ht="18">
      <c r="I43" s="101" t="s">
        <v>89</v>
      </c>
      <c r="Q43" s="104"/>
    </row>
    <row r="44" spans="3:17">
      <c r="G44" s="192" t="s">
        <v>88</v>
      </c>
      <c r="Q44" s="104"/>
    </row>
    <row r="45" spans="3:17">
      <c r="L45" s="104" t="s">
        <v>110</v>
      </c>
      <c r="Q45" s="104"/>
    </row>
    <row r="46" spans="3:17">
      <c r="L46" s="104" t="s">
        <v>81</v>
      </c>
      <c r="Q46" s="104" t="s">
        <v>91</v>
      </c>
    </row>
    <row r="47" spans="3:17">
      <c r="L47" s="104" t="s">
        <v>111</v>
      </c>
      <c r="Q47" s="104"/>
    </row>
    <row r="48" spans="3:17" ht="18">
      <c r="I48" s="101" t="s">
        <v>90</v>
      </c>
      <c r="Q48" s="104"/>
    </row>
    <row r="49" spans="2:17">
      <c r="Q49" s="104"/>
    </row>
    <row r="50" spans="2:17">
      <c r="Q50" s="104"/>
    </row>
    <row r="51" spans="2:17">
      <c r="Q51" s="104"/>
    </row>
    <row r="52" spans="2:17">
      <c r="Q52" s="104"/>
    </row>
    <row r="53" spans="2:17">
      <c r="Q53" s="104"/>
    </row>
    <row r="54" spans="2:17">
      <c r="J54" s="100" t="s">
        <v>83</v>
      </c>
      <c r="L54" s="104" t="s">
        <v>79</v>
      </c>
      <c r="Q54" s="104" t="s">
        <v>86</v>
      </c>
    </row>
    <row r="55" spans="2:17">
      <c r="L55" s="104" t="s">
        <v>80</v>
      </c>
      <c r="Q55" s="104" t="s">
        <v>97</v>
      </c>
    </row>
    <row r="56" spans="2:17">
      <c r="L56" s="104" t="s">
        <v>81</v>
      </c>
      <c r="Q56" s="104" t="s">
        <v>84</v>
      </c>
    </row>
    <row r="57" spans="2:17">
      <c r="Q57" s="104" t="s">
        <v>85</v>
      </c>
    </row>
    <row r="59" spans="2:17">
      <c r="B59" s="100" t="s">
        <v>93</v>
      </c>
    </row>
    <row r="60" spans="2:17">
      <c r="C60" s="92" t="s">
        <v>131</v>
      </c>
    </row>
    <row r="61" spans="2:17">
      <c r="C61" s="92" t="s">
        <v>132</v>
      </c>
    </row>
    <row r="62" spans="2:17">
      <c r="C62" s="106" t="s">
        <v>94</v>
      </c>
    </row>
  </sheetData>
  <mergeCells count="1">
    <mergeCell ref="R12:S16"/>
  </mergeCells>
  <pageMargins left="0.7" right="0.7" top="0.75" bottom="0.75" header="0.3" footer="0.3"/>
  <pageSetup orientation="portrait" r:id="rId1"/>
  <drawing r:id="rId2"/>
  <legacyDrawing r:id="rId3"/>
  <oleObjects>
    <oleObject progId="Equation.3" shapeId="1027" r:id="rId4"/>
    <oleObject progId="Equation.3" shapeId="1029" r:id="rId5"/>
    <oleObject progId="Equation.3" shapeId="1025" r:id="rId6"/>
    <oleObject progId="Equation.3" shapeId="1026" r:id="rId7"/>
    <oleObject progId="Equation.3" shapeId="1028" r:id="rId8"/>
    <oleObject progId="Equation.3" shapeId="1030" r:id="rId9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Description</vt:lpstr>
      <vt:lpstr>Drainage Module</vt:lpstr>
      <vt:lpstr>water Balance</vt:lpstr>
      <vt:lpstr>'Drainage Module'!Database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SURAFEL M</dc:creator>
  <cp:lastModifiedBy>SURAFEL M</cp:lastModifiedBy>
  <dcterms:created xsi:type="dcterms:W3CDTF">2018-06-09T16:25:26Z</dcterms:created>
  <dcterms:modified xsi:type="dcterms:W3CDTF">2018-12-06T10:59:29Z</dcterms:modified>
</cp:coreProperties>
</file>