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365" activeTab="4"/>
  </bookViews>
  <sheets>
    <sheet name="Appendix-A" sheetId="1" r:id="rId1"/>
    <sheet name="Appendix-B" sheetId="2" r:id="rId2"/>
    <sheet name="Appendix-C" sheetId="4" r:id="rId3"/>
    <sheet name="Appendix-D" sheetId="5" r:id="rId4"/>
    <sheet name="Appendix-E" sheetId="6" r:id="rId5"/>
  </sheets>
  <definedNames>
    <definedName name="_xlnm.Print_Area" localSheetId="2">'Appendix-C'!$A$1:$L$199</definedName>
    <definedName name="_xlnm.Print_Area" localSheetId="3">'Appendix-D'!$A$1:$I$46</definedName>
    <definedName name="_xlnm.Print_Area" localSheetId="4">'Appendix-E'!$A$1:$J$111</definedName>
  </definedNames>
  <calcPr calcId="144525"/>
</workbook>
</file>

<file path=xl/calcChain.xml><?xml version="1.0" encoding="utf-8"?>
<calcChain xmlns="http://schemas.openxmlformats.org/spreadsheetml/2006/main">
  <c r="C50" i="6" l="1"/>
  <c r="C44" i="6"/>
  <c r="C43" i="6"/>
  <c r="C16" i="6"/>
  <c r="C10" i="6"/>
  <c r="C9" i="6"/>
  <c r="F53" i="6" l="1"/>
  <c r="D53" i="6"/>
  <c r="G53" i="6" s="1"/>
  <c r="F52" i="6"/>
  <c r="D52" i="6"/>
  <c r="D54" i="6" s="1"/>
  <c r="E51" i="6"/>
  <c r="C51" i="6"/>
  <c r="E50" i="6"/>
  <c r="F50" i="6"/>
  <c r="E49" i="6"/>
  <c r="C49" i="6"/>
  <c r="F49" i="6" s="1"/>
  <c r="E48" i="6"/>
  <c r="C48" i="6"/>
  <c r="E47" i="6"/>
  <c r="C47" i="6"/>
  <c r="F47" i="6" s="1"/>
  <c r="F46" i="6"/>
  <c r="E46" i="6"/>
  <c r="C46" i="6"/>
  <c r="C45" i="6"/>
  <c r="F45" i="6" s="1"/>
  <c r="F44" i="6"/>
  <c r="F42" i="6"/>
  <c r="F19" i="6"/>
  <c r="D19" i="6"/>
  <c r="G19" i="6" s="1"/>
  <c r="F18" i="6"/>
  <c r="D18" i="6"/>
  <c r="E17" i="6"/>
  <c r="C17" i="6"/>
  <c r="E16" i="6"/>
  <c r="F16" i="6"/>
  <c r="E15" i="6"/>
  <c r="F15" i="6" s="1"/>
  <c r="C15" i="6"/>
  <c r="E14" i="6"/>
  <c r="C14" i="6"/>
  <c r="F14" i="6" s="1"/>
  <c r="E13" i="6"/>
  <c r="C13" i="6"/>
  <c r="E12" i="6"/>
  <c r="C12" i="6"/>
  <c r="F12" i="6" s="1"/>
  <c r="C11" i="6"/>
  <c r="F11" i="6" s="1"/>
  <c r="F10" i="6"/>
  <c r="F9" i="6"/>
  <c r="C8" i="6"/>
  <c r="D20" i="6" l="1"/>
  <c r="F13" i="6"/>
  <c r="F51" i="6"/>
  <c r="C20" i="6"/>
  <c r="I8" i="6" s="1"/>
  <c r="I20" i="6" s="1"/>
  <c r="F17" i="6"/>
  <c r="C54" i="6"/>
  <c r="I42" i="6" s="1"/>
  <c r="I54" i="6" s="1"/>
  <c r="F48" i="6"/>
  <c r="F43" i="6"/>
  <c r="F54" i="6" s="1"/>
  <c r="G52" i="6"/>
  <c r="G54" i="6" s="1"/>
  <c r="C55" i="6" s="1"/>
  <c r="C57" i="6" s="1"/>
  <c r="F8" i="6"/>
  <c r="G18" i="6"/>
  <c r="G20" i="6" s="1"/>
  <c r="C21" i="6" s="1"/>
  <c r="C23" i="6" s="1"/>
  <c r="D59" i="6" l="1"/>
  <c r="D25" i="6"/>
  <c r="H42" i="6"/>
  <c r="H54" i="6" s="1"/>
  <c r="F20" i="6"/>
  <c r="H8" i="6" s="1"/>
  <c r="H20" i="6" s="1"/>
  <c r="D58" i="6"/>
  <c r="D24" i="6"/>
  <c r="D41" i="5" l="1"/>
  <c r="D38" i="5"/>
  <c r="D37" i="5"/>
  <c r="D39" i="5" s="1"/>
  <c r="D43" i="5" l="1"/>
  <c r="D44" i="5" s="1"/>
  <c r="D45" i="5" s="1"/>
  <c r="F45" i="5" s="1"/>
  <c r="F15" i="5"/>
  <c r="F16" i="5" s="1"/>
  <c r="H16" i="5" s="1"/>
  <c r="F17" i="5" l="1"/>
  <c r="F18" i="5" s="1"/>
  <c r="F19" i="5" s="1"/>
  <c r="F20" i="5" s="1"/>
  <c r="H21" i="5" s="1"/>
  <c r="E168" i="4" l="1"/>
  <c r="E184" i="4"/>
  <c r="J146" i="4" l="1"/>
  <c r="I146" i="4"/>
  <c r="H122" i="4"/>
  <c r="G122" i="4"/>
  <c r="H113" i="4"/>
  <c r="G113" i="4"/>
  <c r="F101" i="4"/>
  <c r="G101" i="4" s="1"/>
  <c r="G98" i="4"/>
  <c r="J139" i="4" s="1"/>
  <c r="F98" i="4"/>
  <c r="I139" i="4" s="1"/>
  <c r="G82" i="4"/>
  <c r="F82" i="4"/>
  <c r="F77" i="4"/>
  <c r="F87" i="4" s="1"/>
  <c r="I47" i="4"/>
  <c r="I48" i="4" s="1"/>
  <c r="I36" i="4"/>
  <c r="I37" i="4" s="1"/>
  <c r="I24" i="4"/>
  <c r="G89" i="4" l="1"/>
  <c r="H117" i="4" s="1"/>
  <c r="F99" i="4"/>
  <c r="G99" i="4" s="1"/>
  <c r="F92" i="4"/>
  <c r="D171" i="4" s="1"/>
  <c r="G87" i="4"/>
  <c r="J143" i="4"/>
  <c r="F89" i="4"/>
  <c r="G94" i="4"/>
  <c r="I25" i="4"/>
  <c r="F84" i="4"/>
  <c r="F86" i="4" s="1"/>
  <c r="F102" i="4" s="1"/>
  <c r="I140" i="4" s="1"/>
  <c r="H26" i="2"/>
  <c r="D23" i="1"/>
  <c r="I154" i="4" l="1"/>
  <c r="G118" i="4"/>
  <c r="F103" i="4"/>
  <c r="G103" i="4" s="1"/>
  <c r="F100" i="4"/>
  <c r="G100" i="4" s="1"/>
  <c r="F90" i="4"/>
  <c r="G90" i="4" s="1"/>
  <c r="H91" i="4" s="1"/>
  <c r="G84" i="4"/>
  <c r="G86" i="4" s="1"/>
  <c r="J142" i="4"/>
  <c r="G95" i="4"/>
  <c r="G88" i="4"/>
  <c r="F93" i="4"/>
  <c r="G92" i="4"/>
  <c r="D187" i="4" s="1"/>
  <c r="G129" i="4"/>
  <c r="G130" i="4" s="1"/>
  <c r="G132" i="4" s="1"/>
  <c r="G133" i="4" s="1"/>
  <c r="I143" i="4"/>
  <c r="G117" i="4"/>
  <c r="F88" i="4"/>
  <c r="H20" i="2"/>
  <c r="H21" i="2" s="1"/>
  <c r="H25" i="2" s="1"/>
  <c r="E190" i="4" l="1"/>
  <c r="H190" i="4" s="1"/>
  <c r="F193" i="4" s="1"/>
  <c r="F195" i="4" s="1"/>
  <c r="F196" i="4" s="1"/>
  <c r="I141" i="4"/>
  <c r="I156" i="4" s="1"/>
  <c r="F94" i="4"/>
  <c r="G93" i="4"/>
  <c r="J141" i="4" s="1"/>
  <c r="I149" i="4"/>
  <c r="G135" i="4"/>
  <c r="G134" i="4"/>
  <c r="I148" i="4" s="1"/>
  <c r="I152" i="4" s="1"/>
  <c r="I153" i="4" s="1"/>
  <c r="H88" i="4"/>
  <c r="G102" i="4"/>
  <c r="J140" i="4" s="1"/>
  <c r="H129" i="4"/>
  <c r="H130" i="4" s="1"/>
  <c r="H132" i="4" s="1"/>
  <c r="H133" i="4" s="1"/>
  <c r="H118" i="4"/>
  <c r="G121" i="4"/>
  <c r="G119" i="4"/>
  <c r="G123" i="4"/>
  <c r="G124" i="4" s="1"/>
  <c r="G125" i="4" s="1"/>
  <c r="H27" i="2"/>
  <c r="H28" i="2"/>
  <c r="E54" i="1"/>
  <c r="E52" i="1"/>
  <c r="G197" i="4" l="1"/>
  <c r="G198" i="4" s="1"/>
  <c r="H121" i="4"/>
  <c r="H119" i="4"/>
  <c r="H123" i="4"/>
  <c r="H124" i="4" s="1"/>
  <c r="H125" i="4" s="1"/>
  <c r="J154" i="4"/>
  <c r="J155" i="4" s="1"/>
  <c r="I144" i="4"/>
  <c r="G136" i="4"/>
  <c r="I147" i="4" s="1"/>
  <c r="J149" i="4"/>
  <c r="H135" i="4"/>
  <c r="H134" i="4"/>
  <c r="J148" i="4" s="1"/>
  <c r="J152" i="4" s="1"/>
  <c r="J153" i="4" s="1"/>
  <c r="I150" i="4"/>
  <c r="I142" i="4"/>
  <c r="F95" i="4"/>
  <c r="H29" i="2"/>
  <c r="J31" i="2" s="1"/>
  <c r="J33" i="2" s="1"/>
  <c r="J34" i="2" s="1"/>
  <c r="E56" i="1"/>
  <c r="D24" i="1"/>
  <c r="D25" i="1" s="1"/>
  <c r="J156" i="4" l="1"/>
  <c r="I155" i="4"/>
  <c r="E172" i="4" s="1"/>
  <c r="E174" i="4" s="1"/>
  <c r="H174" i="4" s="1"/>
  <c r="F177" i="4" s="1"/>
  <c r="F179" i="4" s="1"/>
  <c r="I145" i="4"/>
  <c r="J150" i="4"/>
  <c r="J144" i="4"/>
  <c r="J145" i="4" s="1"/>
  <c r="H136" i="4"/>
  <c r="J147" i="4" s="1"/>
  <c r="D26" i="1"/>
  <c r="D29" i="1"/>
  <c r="D30" i="1" s="1"/>
  <c r="F180" i="4" l="1"/>
  <c r="G181" i="4"/>
  <c r="G182" i="4" s="1"/>
  <c r="D39" i="1"/>
  <c r="E65" i="1" s="1"/>
  <c r="D37" i="1"/>
  <c r="D42" i="1"/>
  <c r="E69" i="1" s="1"/>
  <c r="E60" i="1"/>
  <c r="D27" i="1"/>
  <c r="E44" i="1" l="1"/>
  <c r="E57" i="1"/>
  <c r="E58" i="1" s="1"/>
  <c r="E66" i="1" s="1"/>
  <c r="E70" i="1" l="1"/>
  <c r="E71" i="1" s="1"/>
  <c r="E72" i="1" s="1"/>
  <c r="E67" i="1"/>
  <c r="E62" i="1"/>
  <c r="E63" i="1" s="1"/>
  <c r="E68" i="1" l="1"/>
  <c r="E64" i="1"/>
</calcChain>
</file>

<file path=xl/sharedStrings.xml><?xml version="1.0" encoding="utf-8"?>
<sst xmlns="http://schemas.openxmlformats.org/spreadsheetml/2006/main" count="556" uniqueCount="341">
  <si>
    <t>Hydraulic Characteristics of the canal</t>
  </si>
  <si>
    <t>Side Slope</t>
  </si>
  <si>
    <t>1.2H:1.0V</t>
  </si>
  <si>
    <t>Velocity, (m/sec.)</t>
  </si>
  <si>
    <t>m</t>
  </si>
  <si>
    <t>m/s</t>
  </si>
  <si>
    <t>Length of Flume</t>
  </si>
  <si>
    <t>Flume Cross sectional Shape</t>
  </si>
  <si>
    <t>Rectangular</t>
  </si>
  <si>
    <t xml:space="preserve">Upstream Canal Bed level </t>
  </si>
  <si>
    <t xml:space="preserve">             A -    Data for Design </t>
  </si>
  <si>
    <t xml:space="preserve">1.5 to 2.0 </t>
  </si>
  <si>
    <t xml:space="preserve">                  Roughness Coefficient, n </t>
  </si>
  <si>
    <t xml:space="preserve">                                              Assume:-</t>
  </si>
  <si>
    <t xml:space="preserve">                                                     b/d </t>
  </si>
  <si>
    <t>d = b/2</t>
  </si>
  <si>
    <t>b</t>
  </si>
  <si>
    <t>m^2</t>
  </si>
  <si>
    <t>V = Q/A</t>
  </si>
  <si>
    <t>OK!</t>
  </si>
  <si>
    <t>Fr = V/√gd</t>
  </si>
  <si>
    <t xml:space="preserve">Wetted Perimeter, </t>
  </si>
  <si>
    <t xml:space="preserve">Hydraulics Radius, </t>
  </si>
  <si>
    <t>R = A/P</t>
  </si>
  <si>
    <t xml:space="preserve">Bed level at upstream (u/s) canal  </t>
  </si>
  <si>
    <t xml:space="preserve">Canal Flow Depth </t>
  </si>
  <si>
    <t>Full Supply Level</t>
  </si>
  <si>
    <t>bed level + flow depth</t>
  </si>
  <si>
    <t xml:space="preserve">Velocity Head at u/s canal </t>
  </si>
  <si>
    <t>full supply + velocity head</t>
  </si>
  <si>
    <t xml:space="preserve">Transition Loss b/n u/s canal and Flume inlet  </t>
  </si>
  <si>
    <t xml:space="preserve">T.E at Flume inlet </t>
  </si>
  <si>
    <t xml:space="preserve"> T.E at u/s canal - Transition loss</t>
  </si>
  <si>
    <t>Velocity Head at Flume</t>
  </si>
  <si>
    <t>Water Surface at Flume inlet</t>
  </si>
  <si>
    <t>Water Depth at the Flume inlet</t>
  </si>
  <si>
    <t xml:space="preserve">Bed level at flume inlet </t>
  </si>
  <si>
    <t>Head Loss between flume inlet and outlet</t>
  </si>
  <si>
    <t xml:space="preserve">T.E. at flume outlet </t>
  </si>
  <si>
    <t xml:space="preserve">Water Surface at Flume outlet </t>
  </si>
  <si>
    <t xml:space="preserve">Bed level of flume outlet </t>
  </si>
  <si>
    <t xml:space="preserve">Head Loss at outlet transition </t>
  </si>
  <si>
    <t xml:space="preserve">T.E. at downstream (d/s) canal </t>
  </si>
  <si>
    <t xml:space="preserve">Water surface at d/s canal </t>
  </si>
  <si>
    <t xml:space="preserve">Bed level at d/s canal              </t>
  </si>
  <si>
    <t xml:space="preserve">           Data for Design </t>
  </si>
  <si>
    <t xml:space="preserve">          A -</t>
  </si>
  <si>
    <t xml:space="preserve">                       Hydraulic Characteristics of the canal</t>
  </si>
  <si>
    <t>Length of Pipe</t>
  </si>
  <si>
    <t xml:space="preserve">Pipe Diameter: </t>
  </si>
  <si>
    <t>PVC</t>
  </si>
  <si>
    <t xml:space="preserve">Cross sectional Area, </t>
  </si>
  <si>
    <t xml:space="preserve">Velocity of flow in Barrel </t>
  </si>
  <si>
    <t xml:space="preserve">Coefficient of Roughness </t>
  </si>
  <si>
    <t xml:space="preserve">Inlet loss coefficient   </t>
  </si>
  <si>
    <t xml:space="preserve">Q/A </t>
  </si>
  <si>
    <t xml:space="preserve">Outlet loss Coefficient </t>
  </si>
  <si>
    <t>Inlet loss</t>
  </si>
  <si>
    <t>Coefficient of Frictional Loss,</t>
  </si>
  <si>
    <t>Outlet loss</t>
  </si>
  <si>
    <t>Total Head Loss</t>
  </si>
  <si>
    <t xml:space="preserve">Adding 10% extra head as contingency, the total head loss becomes </t>
  </si>
  <si>
    <t xml:space="preserve">Down Stream Water Level </t>
  </si>
  <si>
    <t xml:space="preserve">U/S Water Level – Total Head Loss </t>
  </si>
  <si>
    <t>Downstream Canal Bed Level</t>
  </si>
  <si>
    <t>m3/s</t>
  </si>
  <si>
    <t xml:space="preserve"> </t>
  </si>
  <si>
    <t xml:space="preserve">Cells to be filled in </t>
  </si>
  <si>
    <t xml:space="preserve">The head loss coefficient for the difference of the velocity head between canal </t>
  </si>
  <si>
    <t>and Flume is 0.50 for entrance loss and 0.7 for outlet loss. Frictional loss</t>
  </si>
  <si>
    <t>is computed from Manning's Equation.</t>
  </si>
  <si>
    <t xml:space="preserve"> Total Energy (T.E) at u/s canal </t>
  </si>
  <si>
    <t>Canal Bed Width, Kown Data ,</t>
  </si>
  <si>
    <t>b (Flume Width)</t>
  </si>
  <si>
    <t xml:space="preserve">B- Flume Section </t>
  </si>
  <si>
    <t xml:space="preserve">C- Head Loss between upstream and downstream Canal Reach </t>
  </si>
  <si>
    <t>Flow Area in the flume , A = b*d</t>
  </si>
  <si>
    <t>D - Elevations at Different Reaches of the Flume</t>
  </si>
  <si>
    <t>ANNEX-B: Ecxcel Template for Hydraulic Design of Inverted Siphon</t>
  </si>
  <si>
    <t xml:space="preserve">Discharge, Q </t>
  </si>
  <si>
    <t>Bed Width, B</t>
  </si>
  <si>
    <t>Water Depth, d</t>
  </si>
  <si>
    <t>Discharge, Q</t>
  </si>
  <si>
    <t xml:space="preserve">Parent Canal Data  </t>
  </si>
  <si>
    <r>
      <t>Incoming Flow  in Parent Channel 'Q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'  =</t>
    </r>
  </si>
  <si>
    <t>lps</t>
  </si>
  <si>
    <t>Full Supply Depth 'D1'  =</t>
  </si>
  <si>
    <t>U/S  C.B.L   =</t>
  </si>
  <si>
    <t>Bed width  =</t>
  </si>
  <si>
    <t>G.L =</t>
  </si>
  <si>
    <t>Full Supply Level  =</t>
  </si>
  <si>
    <t>T.B.L  =</t>
  </si>
  <si>
    <t>F.B.  =</t>
  </si>
  <si>
    <t>Side Slope  =</t>
  </si>
  <si>
    <t>1.2:1</t>
  </si>
  <si>
    <r>
      <t>Branch Canal Data (0</t>
    </r>
    <r>
      <rPr>
        <vertAlign val="superscript"/>
        <sz val="11"/>
        <rFont val="Calibri"/>
        <family val="2"/>
      </rPr>
      <t>0</t>
    </r>
    <r>
      <rPr>
        <sz val="11"/>
        <rFont val="Calibri"/>
        <family val="2"/>
      </rPr>
      <t>) (BC1)</t>
    </r>
  </si>
  <si>
    <t xml:space="preserve">Outgoing Flow </t>
  </si>
  <si>
    <t>Discharge (Q2)</t>
  </si>
  <si>
    <t>Full Supply Depth 'D2'  =</t>
  </si>
  <si>
    <t>D/S  C.B.L   =</t>
  </si>
  <si>
    <r>
      <t>Branch Canal Data (90</t>
    </r>
    <r>
      <rPr>
        <vertAlign val="superscript"/>
        <sz val="11"/>
        <rFont val="Calibri"/>
        <family val="2"/>
      </rPr>
      <t>0</t>
    </r>
    <r>
      <rPr>
        <sz val="11"/>
        <rFont val="Calibri"/>
        <family val="2"/>
      </rPr>
      <t>) (BC2)</t>
    </r>
  </si>
  <si>
    <r>
      <t xml:space="preserve">Outgoing Flow </t>
    </r>
    <r>
      <rPr>
        <vertAlign val="superscript"/>
        <sz val="11"/>
        <color indexed="8"/>
        <rFont val="Calibri"/>
        <family val="2"/>
      </rPr>
      <t/>
    </r>
  </si>
  <si>
    <t>Full Supply Depth 'D3'  =</t>
  </si>
  <si>
    <t>As  the proportion of flow is between 1:1 to 1:10 with respect to branching canal and Parent</t>
  </si>
  <si>
    <t>canal respectively, therefore broad crested type weir is more suitable here.</t>
  </si>
  <si>
    <t>Conditions for the design of Broad Crested Weir :-</t>
  </si>
  <si>
    <t>(a)</t>
  </si>
  <si>
    <r>
      <t>The discharge is given by  Q = 1.71*K*(B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- 0.2 h)*(h)</t>
    </r>
    <r>
      <rPr>
        <vertAlign val="superscript"/>
        <sz val="11"/>
        <color indexed="8"/>
        <rFont val="Calibri"/>
        <family val="2"/>
      </rPr>
      <t>1.5</t>
    </r>
  </si>
  <si>
    <r>
      <t>(Where, K= 1.00  for  0</t>
    </r>
    <r>
      <rPr>
        <vertAlign val="super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>, K= 0.975 for  45</t>
    </r>
    <r>
      <rPr>
        <vertAlign val="super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>,  K=0.965  for  60</t>
    </r>
    <r>
      <rPr>
        <vertAlign val="super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>, K= 0.95  for  90</t>
    </r>
    <r>
      <rPr>
        <vertAlign val="superscript"/>
        <sz val="11"/>
        <color indexed="8"/>
        <rFont val="Calibri"/>
        <family val="2"/>
      </rPr>
      <t>0</t>
    </r>
    <r>
      <rPr>
        <sz val="11"/>
        <color theme="1"/>
        <rFont val="Calibri"/>
        <family val="2"/>
        <scheme val="minor"/>
      </rPr>
      <t>)</t>
    </r>
  </si>
  <si>
    <t>(b)</t>
  </si>
  <si>
    <t>The Abutments of the weir are vertical and parallel to each other.</t>
  </si>
  <si>
    <t>(c)</t>
  </si>
  <si>
    <r>
      <t>The hydraulic head loss (H</t>
    </r>
    <r>
      <rPr>
        <vertAlign val="subscript"/>
        <sz val="11"/>
        <color indexed="8"/>
        <rFont val="Calibri"/>
        <family val="2"/>
      </rPr>
      <t>L</t>
    </r>
    <r>
      <rPr>
        <sz val="11"/>
        <color theme="1"/>
        <rFont val="Calibri"/>
        <family val="2"/>
        <scheme val="minor"/>
      </rPr>
      <t>) is normally 20 % of the driving head (h) i.e, H</t>
    </r>
    <r>
      <rPr>
        <vertAlign val="subscript"/>
        <sz val="11"/>
        <color indexed="8"/>
        <rFont val="Calibri"/>
        <family val="2"/>
      </rPr>
      <t>L</t>
    </r>
    <r>
      <rPr>
        <sz val="11"/>
        <color theme="1"/>
        <rFont val="Calibri"/>
        <family val="2"/>
        <scheme val="minor"/>
      </rPr>
      <t xml:space="preserve"> = 0.20h</t>
    </r>
  </si>
  <si>
    <r>
      <t>However for safe design we take  H</t>
    </r>
    <r>
      <rPr>
        <vertAlign val="subscript"/>
        <sz val="11"/>
        <color indexed="8"/>
        <rFont val="Calibri"/>
        <family val="2"/>
      </rPr>
      <t>L</t>
    </r>
    <r>
      <rPr>
        <sz val="11"/>
        <color theme="1"/>
        <rFont val="Calibri"/>
        <family val="2"/>
        <scheme val="minor"/>
      </rPr>
      <t xml:space="preserve">  = 0.25 h</t>
    </r>
  </si>
  <si>
    <t>(d)</t>
  </si>
  <si>
    <r>
      <t>The throat length (L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>) in the direction of Flow  L</t>
    </r>
    <r>
      <rPr>
        <vertAlign val="subscript"/>
        <sz val="11"/>
        <color indexed="8"/>
        <rFont val="Calibri"/>
        <family val="2"/>
      </rPr>
      <t>t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8"/>
        <rFont val="Symbol"/>
        <family val="1"/>
        <charset val="2"/>
      </rPr>
      <t>³</t>
    </r>
    <r>
      <rPr>
        <sz val="11"/>
        <color indexed="8"/>
        <rFont val="Calibri"/>
        <family val="2"/>
      </rPr>
      <t xml:space="preserve"> 2.0 h</t>
    </r>
  </si>
  <si>
    <t>(e)</t>
  </si>
  <si>
    <r>
      <t>The height of crest (P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) </t>
    </r>
    <r>
      <rPr>
        <sz val="11"/>
        <color indexed="8"/>
        <rFont val="Symbol"/>
        <family val="1"/>
        <charset val="2"/>
      </rPr>
      <t>³</t>
    </r>
    <r>
      <rPr>
        <sz val="11"/>
        <color indexed="8"/>
        <rFont val="Calibri"/>
        <family val="2"/>
      </rPr>
      <t xml:space="preserve"> 0.20h</t>
    </r>
  </si>
  <si>
    <t>(f)</t>
  </si>
  <si>
    <t xml:space="preserve">The coefficient of discharge remains constant for the design discharge and below </t>
  </si>
  <si>
    <t>the design discharge.</t>
  </si>
  <si>
    <t>(g)</t>
  </si>
  <si>
    <r>
      <t xml:space="preserve">The distance of end abutment   E </t>
    </r>
    <r>
      <rPr>
        <sz val="11"/>
        <color indexed="8"/>
        <rFont val="Symbol"/>
        <family val="1"/>
        <charset val="2"/>
      </rPr>
      <t>³</t>
    </r>
    <r>
      <rPr>
        <sz val="11"/>
        <color indexed="8"/>
        <rFont val="Calibri"/>
        <family val="2"/>
      </rPr>
      <t xml:space="preserve"> 0. 20h</t>
    </r>
  </si>
  <si>
    <t>Design  Calculations :-</t>
  </si>
  <si>
    <t>Driving Head  (h)  :-</t>
  </si>
  <si>
    <r>
      <t>For maximum permissible head loss (H</t>
    </r>
    <r>
      <rPr>
        <vertAlign val="subscript"/>
        <sz val="11"/>
        <color indexed="8"/>
        <rFont val="Calibri"/>
        <family val="2"/>
      </rPr>
      <t>L</t>
    </r>
    <r>
      <rPr>
        <sz val="11"/>
        <color theme="1"/>
        <rFont val="Calibri"/>
        <family val="2"/>
        <scheme val="minor"/>
      </rPr>
      <t>), the crest height P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should be  </t>
    </r>
    <r>
      <rPr>
        <sz val="11"/>
        <color indexed="8"/>
        <rFont val="Symbol"/>
        <family val="1"/>
        <charset val="2"/>
      </rPr>
      <t>³</t>
    </r>
    <r>
      <rPr>
        <sz val="11"/>
        <color theme="1"/>
        <rFont val="Calibri"/>
        <family val="2"/>
        <scheme val="minor"/>
      </rPr>
      <t xml:space="preserve">  0.2 h</t>
    </r>
  </si>
  <si>
    <r>
      <t>Therefore,    selecting   P</t>
    </r>
    <r>
      <rPr>
        <vertAlign val="sub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  =</t>
    </r>
    <r>
      <rPr>
        <sz val="11"/>
        <color indexed="8"/>
        <rFont val="Calibri"/>
        <family val="2"/>
      </rPr>
      <t xml:space="preserve">  0.25h</t>
    </r>
  </si>
  <si>
    <t>As,</t>
  </si>
  <si>
    <t>h  =</t>
  </si>
  <si>
    <r>
      <t>D1  -  P</t>
    </r>
    <r>
      <rPr>
        <vertAlign val="subscript"/>
        <sz val="11"/>
        <color indexed="8"/>
        <rFont val="Calibri"/>
        <family val="2"/>
      </rPr>
      <t>1</t>
    </r>
  </si>
  <si>
    <t>or</t>
  </si>
  <si>
    <t>h = D1 - 0.25h</t>
  </si>
  <si>
    <t>or D1  =1.25 h</t>
  </si>
  <si>
    <t>or,</t>
  </si>
  <si>
    <t>h =</t>
  </si>
  <si>
    <t>0.8 D 1 =</t>
  </si>
  <si>
    <r>
      <t>Throat width (B</t>
    </r>
    <r>
      <rPr>
        <vertAlign val="subscript"/>
        <sz val="12"/>
        <rFont val="Calibri"/>
        <family val="2"/>
      </rPr>
      <t>t</t>
    </r>
    <r>
      <rPr>
        <sz val="12"/>
        <rFont val="Calibri"/>
        <family val="2"/>
      </rPr>
      <t>)  :-</t>
    </r>
  </si>
  <si>
    <t>Particulars</t>
  </si>
  <si>
    <t xml:space="preserve">  </t>
  </si>
  <si>
    <t>BC1</t>
  </si>
  <si>
    <t>BC2</t>
  </si>
  <si>
    <t>comments</t>
  </si>
  <si>
    <t>Discharge (Q)  in cumecs</t>
  </si>
  <si>
    <t>The value of 'K'</t>
  </si>
  <si>
    <t>The value of 'h'  in m</t>
  </si>
  <si>
    <t>Throat width (Bt)  in m</t>
  </si>
  <si>
    <r>
      <t>B</t>
    </r>
    <r>
      <rPr>
        <vertAlign val="subscript"/>
        <sz val="11"/>
        <color indexed="8"/>
        <rFont val="Calibri"/>
        <family val="2"/>
      </rPr>
      <t>t</t>
    </r>
    <r>
      <rPr>
        <sz val="11"/>
        <color indexed="8"/>
        <rFont val="Calibri"/>
        <family val="2"/>
      </rPr>
      <t xml:space="preserve"> =(Q/(1.71*K*(h)</t>
    </r>
    <r>
      <rPr>
        <vertAlign val="superscript"/>
        <sz val="11"/>
        <color indexed="8"/>
        <rFont val="Calibri"/>
        <family val="2"/>
      </rPr>
      <t>1.5</t>
    </r>
    <r>
      <rPr>
        <sz val="11"/>
        <color indexed="8"/>
        <rFont val="Calibri"/>
        <family val="2"/>
      </rPr>
      <t>)) +0.2*h</t>
    </r>
  </si>
  <si>
    <r>
      <t>Crest height above C.B.L (P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</t>
    </r>
  </si>
  <si>
    <r>
      <t>Check for (P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/h )</t>
    </r>
    <r>
      <rPr>
        <sz val="11"/>
        <color indexed="8"/>
        <rFont val="Symbol"/>
        <family val="1"/>
        <charset val="2"/>
      </rPr>
      <t>³  0.20</t>
    </r>
  </si>
  <si>
    <r>
      <t>Head Loss  (H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>) (U/S F.S.L-D/S F.S.L)</t>
    </r>
  </si>
  <si>
    <t>(h)</t>
  </si>
  <si>
    <r>
      <t>Throat Length L</t>
    </r>
    <r>
      <rPr>
        <vertAlign val="subscript"/>
        <sz val="11"/>
        <color indexed="8"/>
        <rFont val="Calibri"/>
        <family val="2"/>
      </rPr>
      <t xml:space="preserve">t  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Symbol"/>
        <family val="1"/>
        <charset val="2"/>
      </rPr>
      <t>³</t>
    </r>
    <r>
      <rPr>
        <sz val="11"/>
        <color indexed="8"/>
        <rFont val="Cambria"/>
        <family val="1"/>
      </rPr>
      <t xml:space="preserve"> 2h</t>
    </r>
  </si>
  <si>
    <r>
      <t>Provide L</t>
    </r>
    <r>
      <rPr>
        <vertAlign val="subscript"/>
        <sz val="11"/>
        <color indexed="8"/>
        <rFont val="Calibri"/>
        <family val="2"/>
      </rPr>
      <t xml:space="preserve">t  </t>
    </r>
    <r>
      <rPr>
        <sz val="11"/>
        <color indexed="8"/>
        <rFont val="Calibri"/>
        <family val="2"/>
      </rPr>
      <t>=</t>
    </r>
  </si>
  <si>
    <t>(i)</t>
  </si>
  <si>
    <r>
      <t>Crest Level (U/S C.B.L +P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</t>
    </r>
  </si>
  <si>
    <t>(j)</t>
  </si>
  <si>
    <t>U/S F.S.L (Crest R.L + h)</t>
  </si>
  <si>
    <t>(k)</t>
  </si>
  <si>
    <t>D/S F.S.L (U/S F.S.L -HL)</t>
  </si>
  <si>
    <t>(l)</t>
  </si>
  <si>
    <t>D/S  C.B.L (D/S F.S.L-F.S.D)</t>
  </si>
  <si>
    <t>Dimensions Provided :-</t>
  </si>
  <si>
    <t>Sl.N0.</t>
  </si>
  <si>
    <t>Units</t>
  </si>
  <si>
    <t xml:space="preserve">Crest height  (P1) </t>
  </si>
  <si>
    <t xml:space="preserve">Driving head (h) </t>
  </si>
  <si>
    <t xml:space="preserve">Throat Length (Lt) </t>
  </si>
  <si>
    <t xml:space="preserve">Throat Width (Bt) </t>
  </si>
  <si>
    <t>End abutment  (E)</t>
  </si>
  <si>
    <r>
      <t>Calculation of y</t>
    </r>
    <r>
      <rPr>
        <vertAlign val="subscript"/>
        <sz val="12"/>
        <rFont val="Calibri"/>
        <family val="2"/>
      </rPr>
      <t>1</t>
    </r>
    <r>
      <rPr>
        <sz val="12"/>
        <rFont val="Calibri"/>
        <family val="2"/>
      </rPr>
      <t xml:space="preserve"> , y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 xml:space="preserve"> , E</t>
    </r>
    <r>
      <rPr>
        <vertAlign val="subscript"/>
        <sz val="12"/>
        <rFont val="Calibri"/>
        <family val="2"/>
      </rPr>
      <t>f1</t>
    </r>
    <r>
      <rPr>
        <sz val="12"/>
        <rFont val="Calibri"/>
        <family val="2"/>
      </rPr>
      <t xml:space="preserve"> and E</t>
    </r>
    <r>
      <rPr>
        <vertAlign val="subscript"/>
        <sz val="12"/>
        <rFont val="Calibri"/>
        <family val="2"/>
      </rPr>
      <t>f2</t>
    </r>
    <r>
      <rPr>
        <sz val="12"/>
        <rFont val="Calibri"/>
        <family val="2"/>
      </rPr>
      <t xml:space="preserve"> for corresponding value of H</t>
    </r>
    <r>
      <rPr>
        <vertAlign val="subscript"/>
        <sz val="12"/>
        <rFont val="Calibri"/>
        <family val="2"/>
      </rPr>
      <t xml:space="preserve">L </t>
    </r>
    <r>
      <rPr>
        <sz val="12"/>
        <rFont val="Calibri"/>
        <family val="2"/>
      </rPr>
      <t>&amp; q  by Iteration Method :-</t>
    </r>
  </si>
  <si>
    <t>Items</t>
  </si>
  <si>
    <r>
      <t>As,    (8*q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*H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>)/g = (-1.5*y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+((y</t>
    </r>
    <r>
      <rPr>
        <vertAlign val="subscript"/>
        <sz val="11"/>
        <color indexed="8"/>
        <rFont val="Calibri"/>
        <family val="2"/>
      </rPr>
      <t>1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/4)+((2*q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)/(g*y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)))</t>
    </r>
    <r>
      <rPr>
        <vertAlign val="superscript"/>
        <sz val="11"/>
        <color indexed="8"/>
        <rFont val="Calibri"/>
        <family val="2"/>
      </rPr>
      <t>0.5</t>
    </r>
    <r>
      <rPr>
        <sz val="11"/>
        <color indexed="8"/>
        <rFont val="Calibri"/>
        <family val="2"/>
      </rPr>
      <t>)</t>
    </r>
    <r>
      <rPr>
        <vertAlign val="super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>*(0.5*y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+((y</t>
    </r>
    <r>
      <rPr>
        <vertAlign val="subscript"/>
        <sz val="11"/>
        <color indexed="8"/>
        <rFont val="Calibri"/>
        <family val="2"/>
      </rPr>
      <t>1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/4)+((2*q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)/(g*y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)))</t>
    </r>
    <r>
      <rPr>
        <vertAlign val="superscript"/>
        <sz val="11"/>
        <color indexed="8"/>
        <rFont val="Calibri"/>
        <family val="2"/>
      </rPr>
      <t>0.5</t>
    </r>
    <r>
      <rPr>
        <sz val="11"/>
        <color indexed="8"/>
        <rFont val="Calibri"/>
        <family val="2"/>
      </rPr>
      <t>)</t>
    </r>
  </si>
  <si>
    <t>Where,</t>
  </si>
  <si>
    <r>
      <t>H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 xml:space="preserve">  =</t>
    </r>
  </si>
  <si>
    <r>
      <t>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 =</t>
    </r>
  </si>
  <si>
    <r>
      <t>So,    (8*q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*H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 xml:space="preserve">)/g  = </t>
    </r>
  </si>
  <si>
    <r>
      <t>Let , the Vaue of  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</t>
    </r>
  </si>
  <si>
    <r>
      <t>Therefore,    (8*q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*H</t>
    </r>
    <r>
      <rPr>
        <vertAlign val="subscript"/>
        <sz val="11"/>
        <color indexed="8"/>
        <rFont val="Calibri"/>
        <family val="2"/>
      </rPr>
      <t>L</t>
    </r>
    <r>
      <rPr>
        <sz val="11"/>
        <color indexed="8"/>
        <rFont val="Calibri"/>
        <family val="2"/>
      </rPr>
      <t xml:space="preserve">)/g  = </t>
    </r>
  </si>
  <si>
    <r>
      <t>After ittiration  we get the value of   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</t>
    </r>
  </si>
  <si>
    <r>
      <t>y</t>
    </r>
    <r>
      <rPr>
        <vertAlign val="sub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 xml:space="preserve"> =</t>
    </r>
  </si>
  <si>
    <r>
      <t>(-0.5*y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+((y</t>
    </r>
    <r>
      <rPr>
        <vertAlign val="subscript"/>
        <sz val="11"/>
        <color indexed="8"/>
        <rFont val="Calibri"/>
        <family val="2"/>
      </rPr>
      <t>1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/4)+((2*q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)/(g*y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)))</t>
    </r>
    <r>
      <rPr>
        <vertAlign val="superscript"/>
        <sz val="11"/>
        <color indexed="8"/>
        <rFont val="Calibri"/>
        <family val="2"/>
      </rPr>
      <t>0.5</t>
    </r>
    <r>
      <rPr>
        <sz val="11"/>
        <color indexed="8"/>
        <rFont val="Calibri"/>
        <family val="2"/>
      </rPr>
      <t>)</t>
    </r>
  </si>
  <si>
    <r>
      <t>E</t>
    </r>
    <r>
      <rPr>
        <vertAlign val="subscript"/>
        <sz val="11"/>
        <color indexed="8"/>
        <rFont val="Calibri"/>
        <family val="2"/>
      </rPr>
      <t>f2</t>
    </r>
    <r>
      <rPr>
        <sz val="11"/>
        <color indexed="8"/>
        <rFont val="Calibri"/>
        <family val="2"/>
      </rPr>
      <t xml:space="preserve">  = 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+ { 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/ (2*g*y</t>
    </r>
    <r>
      <rPr>
        <vertAlign val="subscript"/>
        <sz val="11"/>
        <color indexed="8"/>
        <rFont val="Calibri"/>
        <family val="2"/>
      </rPr>
      <t>2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 }</t>
    </r>
  </si>
  <si>
    <r>
      <t>E</t>
    </r>
    <r>
      <rPr>
        <vertAlign val="subscript"/>
        <sz val="11"/>
        <color indexed="8"/>
        <rFont val="Calibri"/>
        <family val="2"/>
      </rPr>
      <t>f1</t>
    </r>
    <r>
      <rPr>
        <sz val="11"/>
        <color indexed="8"/>
        <rFont val="Calibri"/>
        <family val="2"/>
      </rPr>
      <t xml:space="preserve"> = H</t>
    </r>
    <r>
      <rPr>
        <vertAlign val="subscript"/>
        <sz val="11"/>
        <color indexed="8"/>
        <rFont val="Calibri"/>
        <family val="2"/>
      </rPr>
      <t xml:space="preserve">L </t>
    </r>
    <r>
      <rPr>
        <sz val="11"/>
        <color indexed="8"/>
        <rFont val="Calibri"/>
        <family val="2"/>
      </rPr>
      <t>+ E</t>
    </r>
    <r>
      <rPr>
        <vertAlign val="subscript"/>
        <sz val="11"/>
        <color indexed="8"/>
        <rFont val="Calibri"/>
        <family val="2"/>
      </rPr>
      <t xml:space="preserve">f2 </t>
    </r>
    <r>
      <rPr>
        <sz val="11"/>
        <color indexed="8"/>
        <rFont val="Calibri"/>
        <family val="2"/>
      </rPr>
      <t>=</t>
    </r>
  </si>
  <si>
    <r>
      <t>Calculation of y</t>
    </r>
    <r>
      <rPr>
        <vertAlign val="subscript"/>
        <sz val="12"/>
        <rFont val="Calibri"/>
        <family val="2"/>
      </rPr>
      <t>1</t>
    </r>
    <r>
      <rPr>
        <sz val="12"/>
        <rFont val="Calibri"/>
        <family val="2"/>
      </rPr>
      <t xml:space="preserve"> , y</t>
    </r>
    <r>
      <rPr>
        <vertAlign val="subscript"/>
        <sz val="12"/>
        <rFont val="Calibri"/>
        <family val="2"/>
      </rPr>
      <t>2</t>
    </r>
    <r>
      <rPr>
        <sz val="12"/>
        <rFont val="Calibri"/>
        <family val="2"/>
      </rPr>
      <t xml:space="preserve"> , E</t>
    </r>
    <r>
      <rPr>
        <vertAlign val="subscript"/>
        <sz val="12"/>
        <rFont val="Calibri"/>
        <family val="2"/>
      </rPr>
      <t>f1</t>
    </r>
    <r>
      <rPr>
        <sz val="12"/>
        <rFont val="Calibri"/>
        <family val="2"/>
      </rPr>
      <t xml:space="preserve"> and E</t>
    </r>
    <r>
      <rPr>
        <vertAlign val="subscript"/>
        <sz val="12"/>
        <rFont val="Calibri"/>
        <family val="2"/>
      </rPr>
      <t>f2</t>
    </r>
    <r>
      <rPr>
        <sz val="12"/>
        <rFont val="Calibri"/>
        <family val="2"/>
      </rPr>
      <t xml:space="preserve"> for corresponding value of H</t>
    </r>
    <r>
      <rPr>
        <vertAlign val="subscript"/>
        <sz val="12"/>
        <rFont val="Calibri"/>
        <family val="2"/>
      </rPr>
      <t xml:space="preserve">L </t>
    </r>
    <r>
      <rPr>
        <sz val="12"/>
        <rFont val="Calibri"/>
        <family val="2"/>
      </rPr>
      <t>&amp; q  by Alternate Direct Method :-</t>
    </r>
  </si>
  <si>
    <t>In M/S-2</t>
  </si>
  <si>
    <t>In M/S-3</t>
  </si>
  <si>
    <t>Critical y,</t>
  </si>
  <si>
    <r>
      <t>y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=(q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/g)</t>
    </r>
    <r>
      <rPr>
        <vertAlign val="superscript"/>
        <sz val="11"/>
        <color indexed="8"/>
        <rFont val="Calibri"/>
        <family val="2"/>
      </rPr>
      <t>(1/3)</t>
    </r>
    <r>
      <rPr>
        <sz val="11"/>
        <color indexed="8"/>
        <rFont val="Calibri"/>
        <family val="2"/>
      </rPr>
      <t xml:space="preserve"> =</t>
    </r>
  </si>
  <si>
    <r>
      <t>Z = H</t>
    </r>
    <r>
      <rPr>
        <vertAlign val="subscript"/>
        <sz val="11"/>
        <color indexed="8"/>
        <rFont val="Calibri"/>
        <family val="2"/>
      </rPr>
      <t xml:space="preserve">L </t>
    </r>
    <r>
      <rPr>
        <sz val="11"/>
        <color indexed="8"/>
        <rFont val="Calibri"/>
        <family val="2"/>
      </rPr>
      <t>/ y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 =</t>
    </r>
  </si>
  <si>
    <r>
      <t>Y = 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/y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 1+ (0.93556)* Z</t>
    </r>
    <r>
      <rPr>
        <vertAlign val="superscript"/>
        <sz val="11"/>
        <color indexed="8"/>
        <rFont val="Calibri"/>
        <family val="2"/>
      </rPr>
      <t>0.368</t>
    </r>
    <r>
      <rPr>
        <sz val="11"/>
        <color indexed="8"/>
        <rFont val="Calibri"/>
        <family val="2"/>
      </rPr>
      <t xml:space="preserve">  for Z </t>
    </r>
    <r>
      <rPr>
        <sz val="11"/>
        <color indexed="8"/>
        <rFont val="Symbol"/>
        <family val="1"/>
        <charset val="2"/>
      </rPr>
      <t xml:space="preserve">&lt; </t>
    </r>
    <r>
      <rPr>
        <sz val="11"/>
        <color indexed="8"/>
        <rFont val="Calibri"/>
        <family val="2"/>
      </rPr>
      <t>1</t>
    </r>
  </si>
  <si>
    <r>
      <t>Y = 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/y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 1+ (0.93556)* Z</t>
    </r>
    <r>
      <rPr>
        <vertAlign val="superscript"/>
        <sz val="11"/>
        <color indexed="8"/>
        <rFont val="Calibri"/>
        <family val="2"/>
      </rPr>
      <t>0.264</t>
    </r>
    <r>
      <rPr>
        <sz val="11"/>
        <color indexed="8"/>
        <rFont val="Calibri"/>
        <family val="2"/>
      </rPr>
      <t xml:space="preserve">  for Z </t>
    </r>
    <r>
      <rPr>
        <sz val="11"/>
        <color indexed="8"/>
        <rFont val="Calibri"/>
        <family val="2"/>
      </rPr>
      <t>&gt;</t>
    </r>
    <r>
      <rPr>
        <sz val="11"/>
        <color indexed="8"/>
        <rFont val="Symbol"/>
        <family val="1"/>
        <charset val="2"/>
      </rPr>
      <t xml:space="preserve"> </t>
    </r>
    <r>
      <rPr>
        <sz val="11"/>
        <color indexed="8"/>
        <rFont val="Calibri"/>
        <family val="2"/>
      </rPr>
      <t>1</t>
    </r>
  </si>
  <si>
    <r>
      <t>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Y*y</t>
    </r>
    <r>
      <rPr>
        <vertAlign val="subscript"/>
        <sz val="11"/>
        <color indexed="8"/>
        <rFont val="Calibri"/>
        <family val="2"/>
      </rPr>
      <t>c</t>
    </r>
    <r>
      <rPr>
        <sz val="11"/>
        <color indexed="8"/>
        <rFont val="Calibri"/>
        <family val="2"/>
      </rPr>
      <t xml:space="preserve"> =</t>
    </r>
  </si>
  <si>
    <r>
      <t>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(-y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/2) + ((y</t>
    </r>
    <r>
      <rPr>
        <vertAlign val="subscript"/>
        <sz val="11"/>
        <color indexed="8"/>
        <rFont val="Calibri"/>
        <family val="2"/>
      </rPr>
      <t>2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/4) + (2*q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/(g*y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)))</t>
    </r>
    <r>
      <rPr>
        <vertAlign val="superscript"/>
        <sz val="11"/>
        <color indexed="8"/>
        <rFont val="Calibri"/>
        <family val="2"/>
      </rPr>
      <t>0.5</t>
    </r>
    <r>
      <rPr>
        <sz val="11"/>
        <color indexed="8"/>
        <rFont val="Calibri"/>
        <family val="2"/>
      </rPr>
      <t xml:space="preserve"> =</t>
    </r>
  </si>
  <si>
    <t>Calculation of cistern level &amp; length</t>
  </si>
  <si>
    <t>Sl. No.</t>
  </si>
  <si>
    <t>Item</t>
  </si>
  <si>
    <t>units</t>
  </si>
  <si>
    <t>Discharge intensity q in cumec/m</t>
  </si>
  <si>
    <t>cumec/m</t>
  </si>
  <si>
    <t>Upstream water level</t>
  </si>
  <si>
    <t>Downstream water level</t>
  </si>
  <si>
    <r>
      <t>Head loss H</t>
    </r>
    <r>
      <rPr>
        <vertAlign val="subscript"/>
        <sz val="11"/>
        <color indexed="8"/>
        <rFont val="Calibri"/>
        <family val="2"/>
      </rPr>
      <t>L</t>
    </r>
  </si>
  <si>
    <r>
      <t>Energy level at downstream E</t>
    </r>
    <r>
      <rPr>
        <vertAlign val="subscript"/>
        <sz val="11"/>
        <color indexed="8"/>
        <rFont val="Calibri"/>
        <family val="2"/>
      </rPr>
      <t>f2</t>
    </r>
  </si>
  <si>
    <r>
      <t>Level at which jump will form (d/s  F.S.L.-E</t>
    </r>
    <r>
      <rPr>
        <vertAlign val="subscript"/>
        <sz val="11"/>
        <color indexed="8"/>
        <rFont val="Calibri"/>
        <family val="2"/>
      </rPr>
      <t>f2</t>
    </r>
    <r>
      <rPr>
        <sz val="11"/>
        <color indexed="8"/>
        <rFont val="Calibri"/>
        <family val="2"/>
      </rPr>
      <t>)</t>
    </r>
  </si>
  <si>
    <t xml:space="preserve">D/S Floor level provided  </t>
  </si>
  <si>
    <r>
      <t>E</t>
    </r>
    <r>
      <rPr>
        <vertAlign val="subscript"/>
        <sz val="11"/>
        <color indexed="8"/>
        <rFont val="Calibri"/>
        <family val="2"/>
      </rPr>
      <t>f1</t>
    </r>
    <r>
      <rPr>
        <sz val="11"/>
        <color indexed="8"/>
        <rFont val="Calibri"/>
        <family val="2"/>
      </rPr>
      <t xml:space="preserve">  =  E</t>
    </r>
    <r>
      <rPr>
        <vertAlign val="subscript"/>
        <sz val="11"/>
        <color indexed="8"/>
        <rFont val="Calibri"/>
        <family val="2"/>
      </rPr>
      <t>f2</t>
    </r>
    <r>
      <rPr>
        <sz val="11"/>
        <color indexed="8"/>
        <rFont val="Calibri"/>
        <family val="2"/>
      </rPr>
      <t xml:space="preserve"> + H</t>
    </r>
    <r>
      <rPr>
        <vertAlign val="subscript"/>
        <sz val="11"/>
        <color indexed="8"/>
        <rFont val="Calibri"/>
        <family val="2"/>
      </rPr>
      <t>L</t>
    </r>
  </si>
  <si>
    <r>
      <t>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corresponding to E</t>
    </r>
    <r>
      <rPr>
        <vertAlign val="subscript"/>
        <sz val="11"/>
        <color indexed="8"/>
        <rFont val="Calibri"/>
        <family val="2"/>
      </rPr>
      <t>f1</t>
    </r>
  </si>
  <si>
    <r>
      <t>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corresponding to E</t>
    </r>
    <r>
      <rPr>
        <vertAlign val="subscript"/>
        <sz val="11"/>
        <color indexed="8"/>
        <rFont val="Calibri"/>
        <family val="2"/>
      </rPr>
      <t>f2</t>
    </r>
  </si>
  <si>
    <r>
      <t>Length of cistern of d/s concrete floor required = 5(y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-y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>)</t>
    </r>
  </si>
  <si>
    <t>Provided d/s floor length (L1 &amp; L2)</t>
  </si>
  <si>
    <r>
      <t>Froude No.  F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 =  q / (g*y</t>
    </r>
    <r>
      <rPr>
        <vertAlign val="subscript"/>
        <sz val="11"/>
        <color indexed="8"/>
        <rFont val="Calibri"/>
        <family val="2"/>
      </rPr>
      <t>1</t>
    </r>
    <r>
      <rPr>
        <vertAlign val="superscript"/>
        <sz val="11"/>
        <color indexed="8"/>
        <rFont val="Calibri"/>
        <family val="2"/>
      </rPr>
      <t>3</t>
    </r>
    <r>
      <rPr>
        <sz val="11"/>
        <color indexed="8"/>
        <rFont val="Calibri"/>
        <family val="2"/>
      </rPr>
      <t>)</t>
    </r>
    <r>
      <rPr>
        <vertAlign val="superscript"/>
        <sz val="11"/>
        <color indexed="8"/>
        <rFont val="Calibri"/>
        <family val="2"/>
      </rPr>
      <t>0.5</t>
    </r>
  </si>
  <si>
    <r>
      <t xml:space="preserve"> F</t>
    </r>
    <r>
      <rPr>
        <vertAlign val="subscript"/>
        <sz val="11"/>
        <color indexed="8"/>
        <rFont val="Calibri"/>
        <family val="2"/>
      </rPr>
      <t>1</t>
    </r>
    <r>
      <rPr>
        <vertAlign val="superscript"/>
        <sz val="11"/>
        <color indexed="8"/>
        <rFont val="Calibri"/>
        <family val="2"/>
      </rPr>
      <t xml:space="preserve">2 </t>
    </r>
    <r>
      <rPr>
        <sz val="11"/>
        <color indexed="8"/>
        <rFont val="Calibri"/>
        <family val="2"/>
      </rPr>
      <t xml:space="preserve"> </t>
    </r>
  </si>
  <si>
    <r>
      <t>Normal depth of scour R =1.35*(q</t>
    </r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>/f)</t>
    </r>
    <r>
      <rPr>
        <vertAlign val="superscript"/>
        <sz val="11"/>
        <color indexed="8"/>
        <rFont val="Calibri"/>
        <family val="2"/>
      </rPr>
      <t>1/3</t>
    </r>
    <r>
      <rPr>
        <sz val="11"/>
        <color indexed="8"/>
        <rFont val="Calibri"/>
        <family val="2"/>
      </rPr>
      <t xml:space="preserve"> =</t>
    </r>
  </si>
  <si>
    <t xml:space="preserve">R.L. of bottom of d/s cutoff required = d/s water level - 1.5 R = </t>
  </si>
  <si>
    <t xml:space="preserve">R.L. of bottom of u/s cutoff required = u/s water level - 1.25 R = </t>
  </si>
  <si>
    <t>Total Impervious floor Length, Exit gradient and floor thickness :-</t>
  </si>
  <si>
    <t>Safe exit gradient (GE) =1/5 =</t>
  </si>
  <si>
    <t xml:space="preserve">  (assumed)</t>
  </si>
  <si>
    <t>Maximum Static Head is exerted when water is stored upto crest level on u/s and no water on d/s</t>
  </si>
  <si>
    <t>Maximum Static Head,H = (Credt Level - Downstream cistern level)</t>
  </si>
  <si>
    <t xml:space="preserve">    H   =</t>
  </si>
  <si>
    <t>Depth of d/s curtain wall, d =</t>
  </si>
  <si>
    <t>and</t>
  </si>
  <si>
    <t xml:space="preserve">     =</t>
  </si>
  <si>
    <t>Total floor length required  'b' =</t>
  </si>
  <si>
    <t>U/S floor length required =</t>
  </si>
  <si>
    <t>Unbalanced head at toe = (H/b)*(d/s floor length) =</t>
  </si>
  <si>
    <t>Floor thickness at toe required =</t>
  </si>
  <si>
    <t>˂ 0.7</t>
  </si>
  <si>
    <t>Water Depth, taking b/d ratio of 2</t>
  </si>
  <si>
    <r>
      <t>m</t>
    </r>
    <r>
      <rPr>
        <vertAlign val="superscript"/>
        <sz val="11"/>
        <color theme="1"/>
        <rFont val="Arial"/>
        <family val="2"/>
      </rPr>
      <t>2</t>
    </r>
  </si>
  <si>
    <t>Velocity,</t>
  </si>
  <si>
    <t xml:space="preserve">Froude number,  </t>
  </si>
  <si>
    <r>
      <t>F</t>
    </r>
    <r>
      <rPr>
        <i/>
        <vertAlign val="subscript"/>
        <sz val="11"/>
        <color theme="1"/>
        <rFont val="Arial"/>
        <family val="2"/>
      </rPr>
      <t>r</t>
    </r>
    <r>
      <rPr>
        <sz val="11"/>
        <color theme="1"/>
        <rFont val="Arial"/>
        <family val="2"/>
      </rPr>
      <t xml:space="preserve"> ≤ 0.7 provides to be stable subcritical flow.</t>
    </r>
  </si>
  <si>
    <t xml:space="preserve">P = b+2d </t>
  </si>
  <si>
    <r>
      <t>Inlet Loss (</t>
    </r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fi</t>
    </r>
    <r>
      <rPr>
        <sz val="11"/>
        <color theme="1"/>
        <rFont val="Arial"/>
        <family val="2"/>
      </rPr>
      <t xml:space="preserve">), </t>
    </r>
  </si>
  <si>
    <r>
      <t>Friction Loss (</t>
    </r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fr</t>
    </r>
    <r>
      <rPr>
        <sz val="11"/>
        <color theme="1"/>
        <rFont val="Arial"/>
        <family val="2"/>
      </rPr>
      <t xml:space="preserve">), </t>
    </r>
  </si>
  <si>
    <r>
      <t>Outlet Loss (</t>
    </r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fo</t>
    </r>
    <r>
      <rPr>
        <sz val="11"/>
        <color theme="1"/>
        <rFont val="Arial"/>
        <family val="2"/>
      </rPr>
      <t>),</t>
    </r>
  </si>
  <si>
    <r>
      <t>Total Head Loss (</t>
    </r>
    <r>
      <rPr>
        <i/>
        <sz val="11"/>
        <color theme="1"/>
        <rFont val="Arial"/>
        <family val="2"/>
      </rPr>
      <t>h</t>
    </r>
    <r>
      <rPr>
        <i/>
        <vertAlign val="subscript"/>
        <sz val="11"/>
        <color theme="1"/>
        <rFont val="Arial"/>
        <family val="2"/>
      </rPr>
      <t>f</t>
    </r>
    <r>
      <rPr>
        <sz val="11"/>
        <color theme="1"/>
        <rFont val="Arial"/>
        <family val="2"/>
      </rPr>
      <t xml:space="preserve">) </t>
    </r>
  </si>
  <si>
    <r>
      <t>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/s</t>
    </r>
  </si>
  <si>
    <r>
      <rPr>
        <sz val="12"/>
        <color theme="1"/>
        <rFont val="Arial"/>
        <family val="2"/>
      </rPr>
      <t xml:space="preserve">Pipe Material: </t>
    </r>
    <r>
      <rPr>
        <sz val="11"/>
        <color theme="1"/>
        <rFont val="Arial"/>
        <family val="2"/>
      </rPr>
      <t xml:space="preserve"> </t>
    </r>
  </si>
  <si>
    <r>
      <t xml:space="preserve">                                                        </t>
    </r>
    <r>
      <rPr>
        <b/>
        <sz val="12"/>
        <color theme="1"/>
        <rFont val="Arial"/>
        <family val="2"/>
      </rPr>
      <t xml:space="preserve">                   B - Flow Hydraulics of Barrel and Head Losses</t>
    </r>
  </si>
  <si>
    <r>
      <t>A = πD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/4</t>
    </r>
  </si>
  <si>
    <r>
      <t>Inlet loss= 0.5(v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</si>
  <si>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r>
      <t>f</t>
    </r>
    <r>
      <rPr>
        <sz val="12"/>
        <color theme="1"/>
        <rFont val="Arial"/>
        <family val="2"/>
      </rPr>
      <t>= 124.5 n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/D</t>
    </r>
    <r>
      <rPr>
        <vertAlign val="superscript"/>
        <sz val="12"/>
        <color theme="1"/>
        <rFont val="Arial"/>
        <family val="2"/>
      </rPr>
      <t>1/3</t>
    </r>
  </si>
  <si>
    <r>
      <t>Frictional Loss in Barrel , h</t>
    </r>
    <r>
      <rPr>
        <vertAlign val="subscript"/>
        <sz val="12"/>
        <color theme="1"/>
        <rFont val="Arial"/>
        <family val="2"/>
      </rPr>
      <t xml:space="preserve">f </t>
    </r>
    <r>
      <rPr>
        <sz val="12"/>
        <color theme="1"/>
        <rFont val="Arial"/>
        <family val="2"/>
      </rPr>
      <t>=</t>
    </r>
  </si>
  <si>
    <r>
      <t>f</t>
    </r>
    <r>
      <rPr>
        <sz val="12"/>
        <color theme="1"/>
        <rFont val="Arial"/>
        <family val="2"/>
      </rPr>
      <t xml:space="preserve"> L/D (V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</si>
  <si>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r>
      <t>Outlet loss= 1.0(v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/2g)</t>
    </r>
  </si>
  <si>
    <t xml:space="preserve">Description </t>
  </si>
  <si>
    <t xml:space="preserve">Value </t>
  </si>
  <si>
    <t xml:space="preserve">Unit </t>
  </si>
  <si>
    <t>M(Design Moment),wall suport</t>
  </si>
  <si>
    <t>KNm</t>
  </si>
  <si>
    <t>Concrete Copressive Strength (Fck)</t>
  </si>
  <si>
    <t>Steel Tensile  Strength (Fst)</t>
  </si>
  <si>
    <t>Mpa.</t>
  </si>
  <si>
    <t>Sectionwidth (b)</t>
  </si>
  <si>
    <t>mm</t>
  </si>
  <si>
    <t>Section Hight (h)</t>
  </si>
  <si>
    <t>Clear Cover ( c )</t>
  </si>
  <si>
    <t>Assume Re-Bar Dia.</t>
  </si>
  <si>
    <t>effective depth(d)</t>
  </si>
  <si>
    <t>K</t>
  </si>
  <si>
    <t xml:space="preserve">&lt;0.167 </t>
  </si>
  <si>
    <t>z</t>
  </si>
  <si>
    <t>As</t>
  </si>
  <si>
    <t>mm2</t>
  </si>
  <si>
    <t>No. Bars /m</t>
  </si>
  <si>
    <t>No.</t>
  </si>
  <si>
    <t>Bar Spacing</t>
  </si>
  <si>
    <t>Actually Provided</t>
  </si>
  <si>
    <t>c/c</t>
  </si>
  <si>
    <t>Shear Resistance for Concrete member Depth not Greater than 400mm</t>
  </si>
  <si>
    <t>The ultimate shear force is the governing parameter for the design of appropriate section</t>
  </si>
  <si>
    <t xml:space="preserve"> Sample Shear Resistance Calculation</t>
  </si>
  <si>
    <t>Acting Shear on Str.</t>
  </si>
  <si>
    <t>Vs</t>
  </si>
  <si>
    <t>KN</t>
  </si>
  <si>
    <t>Concrete Class</t>
  </si>
  <si>
    <t>fcu</t>
  </si>
  <si>
    <t>Long. Re-Bar Top</t>
  </si>
  <si>
    <t>Dia 16 at 180mm</t>
  </si>
  <si>
    <t>Long. Re-Bar Bott.</t>
  </si>
  <si>
    <t>Total Long. Re-Bar</t>
  </si>
  <si>
    <t xml:space="preserve">Total </t>
  </si>
  <si>
    <t>Depth (D)</t>
  </si>
  <si>
    <t>Effective</t>
  </si>
  <si>
    <t>Depth (d)</t>
  </si>
  <si>
    <t>Width (b)</t>
  </si>
  <si>
    <t>Steel Ratio(q) %</t>
  </si>
  <si>
    <t>Shear stress</t>
  </si>
  <si>
    <t>vc =</t>
  </si>
  <si>
    <t>N/mm2</t>
  </si>
  <si>
    <t xml:space="preserve">Shear Resistance </t>
  </si>
  <si>
    <t>Vc =vc*d*b/10^3</t>
  </si>
  <si>
    <t>of Concrete member</t>
  </si>
  <si>
    <t>Load Descriptinon</t>
  </si>
  <si>
    <t xml:space="preserve">Load Magnitude in (KN) per meter width of abutment </t>
  </si>
  <si>
    <t xml:space="preserve">Moment Arm Length of the Load from Toe of the abutment </t>
  </si>
  <si>
    <r>
      <t>Stablizing Moment from Vertical Loads, (M</t>
    </r>
    <r>
      <rPr>
        <b/>
        <sz val="9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)</t>
    </r>
  </si>
  <si>
    <r>
      <t>Distablizing Moment from Horizontal Loads, (M</t>
    </r>
    <r>
      <rPr>
        <b/>
        <sz val="9"/>
        <color theme="1"/>
        <rFont val="Calibri"/>
        <family val="2"/>
        <scheme val="minor"/>
      </rPr>
      <t>dis</t>
    </r>
    <r>
      <rPr>
        <b/>
        <sz val="11"/>
        <color theme="1"/>
        <rFont val="Calibri"/>
        <family val="2"/>
        <scheme val="minor"/>
      </rPr>
      <t>)</t>
    </r>
  </si>
  <si>
    <t>Factor of Safety Against Over Turning , F.O.S</t>
  </si>
  <si>
    <t>Factor of Safety Against Sliding , F.O.S</t>
  </si>
  <si>
    <t>Vertical Loads</t>
  </si>
  <si>
    <t>Horizontal Loads</t>
  </si>
  <si>
    <t>(A)</t>
  </si>
  <si>
    <t>(B)</t>
  </si>
  <si>
    <t>(C)</t>
  </si>
  <si>
    <t>(D)</t>
  </si>
  <si>
    <t>( E ) =(B) X (D)</t>
  </si>
  <si>
    <t>( F ) =(C) X (D)</t>
  </si>
  <si>
    <r>
      <t>( G ) =(</t>
    </r>
    <r>
      <rPr>
        <b/>
        <sz val="11"/>
        <color theme="1"/>
        <rFont val="Maiandra GD"/>
        <family val="2"/>
      </rPr>
      <t>∑(E)</t>
    </r>
    <r>
      <rPr>
        <b/>
        <sz val="11"/>
        <color theme="1"/>
        <rFont val="Calibri"/>
        <family val="2"/>
        <scheme val="minor"/>
      </rPr>
      <t>/∑(F))</t>
    </r>
  </si>
  <si>
    <r>
      <t>( H ) =</t>
    </r>
    <r>
      <rPr>
        <b/>
        <sz val="11"/>
        <color theme="1"/>
        <rFont val="GreekC"/>
      </rPr>
      <t>μ</t>
    </r>
    <r>
      <rPr>
        <b/>
        <sz val="11"/>
        <color theme="1"/>
        <rFont val="Calibri"/>
        <family val="2"/>
        <scheme val="minor"/>
      </rPr>
      <t>∑(B)/∑(C)</t>
    </r>
  </si>
  <si>
    <r>
      <t xml:space="preserve">P </t>
    </r>
    <r>
      <rPr>
        <sz val="9"/>
        <color theme="1"/>
        <rFont val="Calibri"/>
        <family val="2"/>
        <scheme val="minor"/>
      </rPr>
      <t>Water</t>
    </r>
    <r>
      <rPr>
        <sz val="11"/>
        <color theme="1"/>
        <rFont val="Calibri"/>
        <family val="2"/>
        <scheme val="minor"/>
      </rPr>
      <t xml:space="preserve"> = Water Load in Flume for at  one of the abutemnt wall </t>
    </r>
  </si>
  <si>
    <r>
      <t xml:space="preserve">P </t>
    </r>
    <r>
      <rPr>
        <sz val="9"/>
        <color theme="1"/>
        <rFont val="Calibri"/>
        <family val="2"/>
        <scheme val="minor"/>
      </rPr>
      <t>Flume</t>
    </r>
    <r>
      <rPr>
        <sz val="11"/>
        <color theme="1"/>
        <rFont val="Calibri"/>
        <family val="2"/>
        <scheme val="minor"/>
      </rPr>
      <t xml:space="preserve"> =Flume section Concrete Load at one of the abutment wall </t>
    </r>
  </si>
  <si>
    <r>
      <t xml:space="preserve">P </t>
    </r>
    <r>
      <rPr>
        <sz val="9"/>
        <color theme="1"/>
        <rFont val="Calibri"/>
        <family val="2"/>
        <scheme val="minor"/>
      </rPr>
      <t>cup</t>
    </r>
    <r>
      <rPr>
        <sz val="11"/>
        <color theme="1"/>
        <rFont val="Calibri"/>
        <family val="2"/>
        <scheme val="minor"/>
      </rPr>
      <t xml:space="preserve"> =Abutment Concrete Cup Load </t>
    </r>
  </si>
  <si>
    <t>W1 = Masory Wall, Rectangular</t>
  </si>
  <si>
    <t>W2 = Masory Wall, Triangular</t>
  </si>
  <si>
    <t>W3 = Back fill Soil, Rectangular</t>
  </si>
  <si>
    <t>W4 = Back fill Soil, Triangular</t>
  </si>
  <si>
    <t>W5 = Back fill Soil, Rectangular</t>
  </si>
  <si>
    <t xml:space="preserve">W6 = Base Slab </t>
  </si>
  <si>
    <t>W7 = Soil Surcharge Load</t>
  </si>
  <si>
    <t xml:space="preserve">Psoil = Soil Lateral Load </t>
  </si>
  <si>
    <t xml:space="preserve">Psurcharge= Surcharge soil Lateral Load </t>
  </si>
  <si>
    <t>Total = ∑ (  ) and Check for Safety</t>
  </si>
  <si>
    <t>Resultant Force Arm Length, z = ∑(F)/∑( C)</t>
  </si>
  <si>
    <t>Foundation Base Width, B in meter</t>
  </si>
  <si>
    <t>Eccentricity , e = B/2-z</t>
  </si>
  <si>
    <t>Check for Foundation Bearing Capcity</t>
  </si>
  <si>
    <r>
      <t>P</t>
    </r>
    <r>
      <rPr>
        <sz val="9"/>
        <color theme="1"/>
        <rFont val="Calibri"/>
        <family val="2"/>
        <scheme val="minor"/>
      </rPr>
      <t>max (KN/m2)</t>
    </r>
  </si>
  <si>
    <r>
      <t>P</t>
    </r>
    <r>
      <rPr>
        <sz val="9"/>
        <color theme="1"/>
        <rFont val="Calibri"/>
        <family val="2"/>
        <scheme val="minor"/>
      </rPr>
      <t>min (KN/m2)</t>
    </r>
  </si>
  <si>
    <r>
      <t>ii)</t>
    </r>
    <r>
      <rPr>
        <sz val="12"/>
        <color theme="1"/>
        <rFont val="Times New Roman"/>
        <family val="1"/>
      </rPr>
      <t>   </t>
    </r>
    <r>
      <rPr>
        <sz val="12"/>
        <color theme="1"/>
        <rFont val="Arial"/>
        <family val="2"/>
      </rPr>
      <t>Flume Abutment Stability Check when flume is empty case</t>
    </r>
  </si>
  <si>
    <r>
      <t>i)</t>
    </r>
    <r>
      <rPr>
        <sz val="12"/>
        <color theme="1"/>
        <rFont val="Times New Roman"/>
        <family val="1"/>
      </rPr>
      <t>  </t>
    </r>
    <r>
      <rPr>
        <sz val="12"/>
        <color theme="1"/>
        <rFont val="Arial"/>
        <family val="2"/>
      </rPr>
      <t> Flume Abutment Stability Check when flume channel is at full water level operation case</t>
    </r>
  </si>
  <si>
    <t>ANNEX-C</t>
  </si>
  <si>
    <t>Appendix E-1:</t>
  </si>
  <si>
    <t xml:space="preserve">Appendix -A: Ecxcel Template for Hydraulic Design of Elevated Flume </t>
  </si>
  <si>
    <t>Appendix -C: Ecxcel Template for Hydraulic Design of Division Box</t>
  </si>
  <si>
    <t>Appendix D-1 : Flexural Design Template for Reinforced Concrete Members</t>
  </si>
  <si>
    <t>Appendix D-2 :Design Template for Shear Resistance of Reinforced Concrete Members</t>
  </si>
  <si>
    <t>Appendix E-2: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</si>
</sst>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5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6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vertAlign val="subscript"/>
      <sz val="11"/>
      <color indexed="8"/>
      <name val="Calibri"/>
      <family val="2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color indexed="8"/>
      <name val="Calibri"/>
      <family val="2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indexed="8"/>
      <name val="Symbol"/>
      <family val="1"/>
      <charset val="2"/>
    </font>
    <font>
      <sz val="11"/>
      <color indexed="8"/>
      <name val="Calibri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12"/>
      <name val="Calibri"/>
      <family val="2"/>
    </font>
    <font>
      <sz val="12"/>
      <name val="Calibri"/>
      <family val="2"/>
    </font>
    <font>
      <sz val="11"/>
      <color indexed="8"/>
      <name val="Cambria"/>
      <family val="1"/>
    </font>
    <font>
      <sz val="11"/>
      <color rgb="FF00B0F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i/>
      <vertAlign val="subscript"/>
      <sz val="11"/>
      <color theme="1"/>
      <name val="Arial"/>
      <family val="2"/>
    </font>
    <font>
      <vertAlign val="superscript"/>
      <sz val="12"/>
      <name val="Arial"/>
      <family val="2"/>
    </font>
    <font>
      <vertAlign val="subscript"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9"/>
      <color theme="1"/>
      <name val="Garamond"/>
      <family val="1"/>
    </font>
    <font>
      <sz val="11"/>
      <color rgb="FFFF0000"/>
      <name val="Garamond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1"/>
      <color theme="1"/>
      <name val="GreekC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48" fillId="0" borderId="0" applyNumberFormat="0" applyFill="0" applyBorder="0" applyAlignment="0" applyProtection="0"/>
  </cellStyleXfs>
  <cellXfs count="220">
    <xf numFmtId="0" fontId="0" fillId="0" borderId="0" xfId="0"/>
    <xf numFmtId="0" fontId="1" fillId="0" borderId="0" xfId="0" applyFont="1" applyAlignment="1">
      <alignment vertical="top"/>
    </xf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165" fontId="2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49" fontId="0" fillId="0" borderId="0" xfId="0" applyNumberFormat="1" applyAlignment="1">
      <alignment horizontal="center"/>
    </xf>
    <xf numFmtId="0" fontId="13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2" fontId="0" fillId="0" borderId="0" xfId="0" applyNumberFormat="1" applyFont="1"/>
    <xf numFmtId="0" fontId="2" fillId="0" borderId="0" xfId="0" applyFont="1" applyAlignment="1">
      <alignment horizontal="right"/>
    </xf>
    <xf numFmtId="165" fontId="2" fillId="0" borderId="0" xfId="0" applyNumberFormat="1" applyFont="1"/>
    <xf numFmtId="49" fontId="9" fillId="0" borderId="0" xfId="0" applyNumberFormat="1" applyFont="1" applyAlignment="1">
      <alignment horizontal="center"/>
    </xf>
    <xf numFmtId="0" fontId="0" fillId="0" borderId="0" xfId="0" applyFont="1"/>
    <xf numFmtId="49" fontId="0" fillId="0" borderId="1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0" xfId="0" applyFont="1" applyBorder="1"/>
    <xf numFmtId="49" fontId="0" fillId="0" borderId="5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49" fontId="0" fillId="0" borderId="9" xfId="0" applyNumberFormat="1" applyFont="1" applyBorder="1" applyAlignment="1">
      <alignment horizontal="center"/>
    </xf>
    <xf numFmtId="0" fontId="0" fillId="0" borderId="9" xfId="0" applyFont="1" applyBorder="1"/>
    <xf numFmtId="2" fontId="0" fillId="0" borderId="9" xfId="0" applyNumberFormat="1" applyFont="1" applyBorder="1" applyAlignment="1">
      <alignment horizontal="right"/>
    </xf>
    <xf numFmtId="2" fontId="0" fillId="0" borderId="10" xfId="0" applyNumberFormat="1" applyFont="1" applyBorder="1" applyAlignment="1">
      <alignment horizontal="right"/>
    </xf>
    <xf numFmtId="2" fontId="0" fillId="0" borderId="9" xfId="0" applyNumberFormat="1" applyFont="1" applyBorder="1"/>
    <xf numFmtId="2" fontId="0" fillId="0" borderId="0" xfId="0" applyNumberFormat="1" applyFont="1" applyBorder="1"/>
    <xf numFmtId="0" fontId="0" fillId="0" borderId="10" xfId="0" applyFont="1" applyBorder="1"/>
    <xf numFmtId="0" fontId="0" fillId="0" borderId="11" xfId="0" applyFont="1" applyBorder="1"/>
    <xf numFmtId="49" fontId="0" fillId="0" borderId="4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0" fillId="0" borderId="4" xfId="0" applyNumberFormat="1" applyFont="1" applyBorder="1"/>
    <xf numFmtId="49" fontId="0" fillId="0" borderId="8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right"/>
    </xf>
    <xf numFmtId="2" fontId="0" fillId="0" borderId="8" xfId="0" applyNumberFormat="1" applyFont="1" applyBorder="1"/>
    <xf numFmtId="49" fontId="0" fillId="0" borderId="10" xfId="0" applyNumberFormat="1" applyFont="1" applyBorder="1" applyAlignment="1">
      <alignment horizontal="center"/>
    </xf>
    <xf numFmtId="0" fontId="0" fillId="0" borderId="9" xfId="0" applyFont="1" applyFill="1" applyBorder="1"/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Fill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49" fontId="0" fillId="0" borderId="5" xfId="0" applyNumberFormat="1" applyFont="1" applyBorder="1" applyAlignment="1">
      <alignment horizontal="center"/>
    </xf>
    <xf numFmtId="0" fontId="0" fillId="0" borderId="5" xfId="0" applyFont="1" applyFill="1" applyBorder="1"/>
    <xf numFmtId="2" fontId="2" fillId="0" borderId="8" xfId="0" applyNumberFormat="1" applyFont="1" applyBorder="1" applyAlignment="1">
      <alignment horizontal="right"/>
    </xf>
    <xf numFmtId="49" fontId="0" fillId="0" borderId="10" xfId="0" applyNumberFormat="1" applyFont="1" applyFill="1" applyBorder="1" applyAlignment="1">
      <alignment horizontal="center"/>
    </xf>
    <xf numFmtId="49" fontId="0" fillId="0" borderId="9" xfId="0" applyNumberFormat="1" applyFont="1" applyFill="1" applyBorder="1" applyAlignment="1">
      <alignment horizontal="center"/>
    </xf>
    <xf numFmtId="0" fontId="0" fillId="0" borderId="12" xfId="0" applyFont="1" applyFill="1" applyBorder="1"/>
    <xf numFmtId="165" fontId="2" fillId="0" borderId="9" xfId="0" applyNumberFormat="1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65" fontId="2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9" fillId="3" borderId="0" xfId="0" applyFont="1" applyFill="1"/>
    <xf numFmtId="0" fontId="2" fillId="3" borderId="0" xfId="0" applyFont="1" applyFill="1"/>
    <xf numFmtId="165" fontId="0" fillId="0" borderId="0" xfId="0" applyNumberFormat="1" applyFont="1"/>
    <xf numFmtId="165" fontId="2" fillId="0" borderId="12" xfId="0" applyNumberFormat="1" applyFont="1" applyBorder="1" applyAlignment="1">
      <alignment horizontal="center"/>
    </xf>
    <xf numFmtId="0" fontId="0" fillId="0" borderId="1" xfId="0" applyFont="1" applyBorder="1"/>
    <xf numFmtId="165" fontId="0" fillId="0" borderId="2" xfId="0" applyNumberFormat="1" applyFont="1" applyBorder="1"/>
    <xf numFmtId="165" fontId="0" fillId="0" borderId="6" xfId="0" applyNumberFormat="1" applyFont="1" applyBorder="1"/>
    <xf numFmtId="0" fontId="0" fillId="0" borderId="13" xfId="0" applyFont="1" applyBorder="1"/>
    <xf numFmtId="2" fontId="2" fillId="0" borderId="14" xfId="0" applyNumberFormat="1" applyFont="1" applyBorder="1" applyAlignment="1">
      <alignment horizontal="right"/>
    </xf>
    <xf numFmtId="0" fontId="0" fillId="0" borderId="14" xfId="0" applyFont="1" applyBorder="1"/>
    <xf numFmtId="165" fontId="0" fillId="0" borderId="0" xfId="0" applyNumberFormat="1" applyFont="1" applyBorder="1"/>
    <xf numFmtId="165" fontId="18" fillId="0" borderId="0" xfId="0" applyNumberFormat="1" applyFont="1" applyBorder="1"/>
    <xf numFmtId="165" fontId="18" fillId="0" borderId="6" xfId="0" applyNumberFormat="1" applyFont="1" applyBorder="1"/>
    <xf numFmtId="0" fontId="19" fillId="3" borderId="0" xfId="0" applyFont="1" applyFill="1"/>
    <xf numFmtId="0" fontId="0" fillId="3" borderId="0" xfId="0" applyFont="1" applyFill="1"/>
    <xf numFmtId="165" fontId="2" fillId="0" borderId="2" xfId="0" applyNumberFormat="1" applyFont="1" applyBorder="1" applyAlignment="1">
      <alignment horizontal="center"/>
    </xf>
    <xf numFmtId="165" fontId="18" fillId="0" borderId="12" xfId="0" applyNumberFormat="1" applyFont="1" applyBorder="1"/>
    <xf numFmtId="2" fontId="2" fillId="0" borderId="9" xfId="0" applyNumberFormat="1" applyFont="1" applyBorder="1"/>
    <xf numFmtId="0" fontId="0" fillId="0" borderId="1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Fill="1" applyBorder="1"/>
    <xf numFmtId="2" fontId="2" fillId="3" borderId="0" xfId="0" applyNumberFormat="1" applyFont="1" applyFill="1"/>
    <xf numFmtId="2" fontId="20" fillId="3" borderId="0" xfId="0" applyNumberFormat="1" applyFont="1" applyFill="1"/>
    <xf numFmtId="2" fontId="20" fillId="0" borderId="0" xfId="0" applyNumberFormat="1" applyFont="1"/>
    <xf numFmtId="2" fontId="21" fillId="0" borderId="0" xfId="0" applyNumberFormat="1" applyFont="1" applyAlignment="1">
      <alignment horizontal="right"/>
    </xf>
    <xf numFmtId="2" fontId="18" fillId="0" borderId="0" xfId="0" applyNumberFormat="1" applyFont="1"/>
    <xf numFmtId="2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left"/>
    </xf>
    <xf numFmtId="2" fontId="20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0" fillId="0" borderId="0" xfId="0" applyFont="1" applyFill="1" applyBorder="1"/>
    <xf numFmtId="2" fontId="22" fillId="0" borderId="0" xfId="0" applyNumberFormat="1" applyFont="1" applyBorder="1"/>
    <xf numFmtId="2" fontId="23" fillId="0" borderId="0" xfId="0" applyNumberFormat="1" applyFont="1" applyBorder="1"/>
    <xf numFmtId="2" fontId="2" fillId="0" borderId="0" xfId="0" applyNumberFormat="1" applyFont="1" applyBorder="1"/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5" fillId="2" borderId="0" xfId="0" applyFont="1" applyFill="1" applyAlignment="1">
      <alignment vertical="top"/>
    </xf>
    <xf numFmtId="0" fontId="25" fillId="0" borderId="0" xfId="0" applyFont="1"/>
    <xf numFmtId="0" fontId="24" fillId="0" borderId="0" xfId="0" applyFont="1"/>
    <xf numFmtId="0" fontId="32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24" fillId="2" borderId="0" xfId="0" applyFont="1" applyFill="1" applyAlignment="1">
      <alignment vertical="top"/>
    </xf>
    <xf numFmtId="0" fontId="24" fillId="0" borderId="0" xfId="0" applyFont="1" applyFill="1" applyAlignment="1">
      <alignment vertical="top"/>
    </xf>
    <xf numFmtId="0" fontId="34" fillId="2" borderId="0" xfId="0" applyFont="1" applyFill="1" applyAlignment="1">
      <alignment horizontal="right" vertical="top"/>
    </xf>
    <xf numFmtId="0" fontId="34" fillId="0" borderId="0" xfId="0" applyFont="1" applyAlignment="1">
      <alignment vertical="top"/>
    </xf>
    <xf numFmtId="0" fontId="24" fillId="0" borderId="0" xfId="0" applyFont="1" applyAlignment="1">
      <alignment horizontal="right" vertical="top"/>
    </xf>
    <xf numFmtId="0" fontId="36" fillId="0" borderId="0" xfId="0" applyFont="1" applyAlignment="1">
      <alignment horizontal="center"/>
    </xf>
    <xf numFmtId="0" fontId="36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164" fontId="24" fillId="0" borderId="0" xfId="0" applyNumberFormat="1" applyFont="1" applyAlignment="1">
      <alignment vertical="top"/>
    </xf>
    <xf numFmtId="165" fontId="24" fillId="0" borderId="0" xfId="0" applyNumberFormat="1" applyFont="1"/>
    <xf numFmtId="0" fontId="24" fillId="0" borderId="0" xfId="0" applyFont="1" applyBorder="1" applyAlignment="1">
      <alignment vertical="top"/>
    </xf>
    <xf numFmtId="0" fontId="24" fillId="0" borderId="0" xfId="0" applyNumberFormat="1" applyFont="1"/>
    <xf numFmtId="0" fontId="26" fillId="0" borderId="0" xfId="0" applyNumberFormat="1" applyFont="1" applyAlignment="1">
      <alignment horizontal="center" vertical="center"/>
    </xf>
    <xf numFmtId="0" fontId="27" fillId="0" borderId="0" xfId="0" applyNumberFormat="1" applyFont="1" applyAlignment="1">
      <alignment horizontal="center"/>
    </xf>
    <xf numFmtId="0" fontId="33" fillId="0" borderId="0" xfId="0" applyNumberFormat="1" applyFont="1"/>
    <xf numFmtId="0" fontId="25" fillId="0" borderId="0" xfId="0" applyNumberFormat="1" applyFont="1" applyAlignment="1">
      <alignment horizontal="center"/>
    </xf>
    <xf numFmtId="0" fontId="28" fillId="0" borderId="0" xfId="0" applyNumberFormat="1" applyFont="1" applyAlignment="1">
      <alignment horizontal="center"/>
    </xf>
    <xf numFmtId="0" fontId="25" fillId="0" borderId="0" xfId="0" applyNumberFormat="1" applyFont="1" applyAlignment="1">
      <alignment vertical="top"/>
    </xf>
    <xf numFmtId="0" fontId="29" fillId="2" borderId="0" xfId="0" applyNumberFormat="1" applyFont="1" applyFill="1" applyAlignment="1">
      <alignment horizontal="right" vertical="top"/>
    </xf>
    <xf numFmtId="0" fontId="29" fillId="0" borderId="0" xfId="0" applyNumberFormat="1" applyFont="1" applyAlignment="1">
      <alignment vertical="top"/>
    </xf>
    <xf numFmtId="0" fontId="34" fillId="2" borderId="0" xfId="0" applyNumberFormat="1" applyFont="1" applyFill="1"/>
    <xf numFmtId="0" fontId="34" fillId="0" borderId="0" xfId="0" applyNumberFormat="1" applyFont="1"/>
    <xf numFmtId="0" fontId="34" fillId="2" borderId="0" xfId="0" applyNumberFormat="1" applyFont="1" applyFill="1" applyAlignment="1">
      <alignment horizontal="right"/>
    </xf>
    <xf numFmtId="0" fontId="34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center"/>
    </xf>
    <xf numFmtId="0" fontId="25" fillId="0" borderId="0" xfId="0" applyNumberFormat="1" applyFont="1"/>
    <xf numFmtId="0" fontId="31" fillId="0" borderId="0" xfId="0" applyNumberFormat="1" applyFont="1"/>
    <xf numFmtId="0" fontId="3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164" fontId="42" fillId="0" borderId="0" xfId="0" applyNumberFormat="1" applyFont="1"/>
    <xf numFmtId="2" fontId="42" fillId="0" borderId="0" xfId="0" applyNumberFormat="1" applyFont="1"/>
    <xf numFmtId="0" fontId="4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5" fillId="0" borderId="0" xfId="0" applyFont="1" applyFill="1" applyAlignment="1">
      <alignment vertical="top"/>
    </xf>
    <xf numFmtId="0" fontId="42" fillId="2" borderId="0" xfId="0" applyFont="1" applyFill="1"/>
    <xf numFmtId="0" fontId="45" fillId="0" borderId="0" xfId="0" applyFont="1"/>
    <xf numFmtId="0" fontId="41" fillId="0" borderId="0" xfId="0" applyFont="1"/>
    <xf numFmtId="0" fontId="47" fillId="0" borderId="0" xfId="0" applyFont="1"/>
    <xf numFmtId="49" fontId="0" fillId="0" borderId="0" xfId="1" applyNumberFormat="1" applyFont="1" applyAlignment="1">
      <alignment horizontal="left"/>
    </xf>
    <xf numFmtId="0" fontId="40" fillId="0" borderId="0" xfId="0" applyFont="1"/>
    <xf numFmtId="0" fontId="0" fillId="2" borderId="0" xfId="0" applyFill="1"/>
    <xf numFmtId="2" fontId="2" fillId="2" borderId="0" xfId="0" applyNumberFormat="1" applyFont="1" applyFill="1"/>
    <xf numFmtId="165" fontId="2" fillId="2" borderId="0" xfId="0" applyNumberFormat="1" applyFont="1" applyFill="1" applyAlignment="1">
      <alignment horizontal="right"/>
    </xf>
    <xf numFmtId="0" fontId="24" fillId="2" borderId="0" xfId="0" applyFont="1" applyFill="1" applyAlignment="1">
      <alignment horizontal="right" vertical="top"/>
    </xf>
    <xf numFmtId="0" fontId="24" fillId="4" borderId="0" xfId="0" applyFont="1" applyFill="1" applyAlignment="1">
      <alignment vertical="top"/>
    </xf>
    <xf numFmtId="165" fontId="24" fillId="4" borderId="0" xfId="0" applyNumberFormat="1" applyFont="1" applyFill="1" applyAlignment="1">
      <alignment vertical="top"/>
    </xf>
    <xf numFmtId="164" fontId="24" fillId="4" borderId="0" xfId="0" applyNumberFormat="1" applyFont="1" applyFill="1" applyAlignment="1">
      <alignment vertical="top"/>
    </xf>
    <xf numFmtId="164" fontId="24" fillId="4" borderId="0" xfId="0" applyNumberFormat="1" applyFont="1" applyFill="1"/>
    <xf numFmtId="165" fontId="24" fillId="4" borderId="0" xfId="0" applyNumberFormat="1" applyFont="1" applyFill="1"/>
    <xf numFmtId="2" fontId="24" fillId="4" borderId="0" xfId="0" applyNumberFormat="1" applyFont="1" applyFill="1" applyAlignment="1">
      <alignment vertical="top"/>
    </xf>
    <xf numFmtId="165" fontId="24" fillId="4" borderId="0" xfId="0" applyNumberFormat="1" applyFont="1" applyFill="1" applyAlignment="1">
      <alignment horizontal="right" vertical="top"/>
    </xf>
    <xf numFmtId="2" fontId="25" fillId="2" borderId="0" xfId="0" applyNumberFormat="1" applyFont="1" applyFill="1"/>
    <xf numFmtId="2" fontId="24" fillId="2" borderId="0" xfId="0" applyNumberFormat="1" applyFont="1" applyFill="1"/>
    <xf numFmtId="2" fontId="24" fillId="4" borderId="0" xfId="0" applyNumberFormat="1" applyFont="1" applyFill="1"/>
    <xf numFmtId="2" fontId="2" fillId="4" borderId="0" xfId="0" applyNumberFormat="1" applyFont="1" applyFill="1"/>
    <xf numFmtId="0" fontId="41" fillId="0" borderId="19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/>
    </xf>
    <xf numFmtId="0" fontId="41" fillId="0" borderId="22" xfId="0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24" xfId="0" applyBorder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26" xfId="0" applyBorder="1" applyAlignment="1">
      <alignment horizontal="left" wrapText="1"/>
    </xf>
    <xf numFmtId="0" fontId="0" fillId="0" borderId="26" xfId="0" applyBorder="1"/>
    <xf numFmtId="2" fontId="0" fillId="0" borderId="27" xfId="0" applyNumberFormat="1" applyBorder="1" applyAlignment="1">
      <alignment horizontal="center"/>
    </xf>
    <xf numFmtId="2" fontId="0" fillId="0" borderId="28" xfId="0" applyNumberFormat="1" applyBorder="1"/>
    <xf numFmtId="0" fontId="0" fillId="0" borderId="30" xfId="0" applyBorder="1"/>
    <xf numFmtId="0" fontId="0" fillId="0" borderId="31" xfId="0" applyBorder="1"/>
    <xf numFmtId="2" fontId="0" fillId="0" borderId="31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2" fontId="0" fillId="0" borderId="32" xfId="0" applyNumberFormat="1" applyBorder="1"/>
    <xf numFmtId="0" fontId="0" fillId="0" borderId="33" xfId="0" applyBorder="1"/>
    <xf numFmtId="0" fontId="0" fillId="0" borderId="34" xfId="0" applyBorder="1"/>
    <xf numFmtId="2" fontId="0" fillId="0" borderId="34" xfId="0" applyNumberFormat="1" applyBorder="1"/>
    <xf numFmtId="0" fontId="0" fillId="0" borderId="34" xfId="0" applyBorder="1" applyAlignment="1">
      <alignment horizontal="center"/>
    </xf>
    <xf numFmtId="2" fontId="0" fillId="0" borderId="35" xfId="0" applyNumberFormat="1" applyBorder="1"/>
    <xf numFmtId="2" fontId="40" fillId="0" borderId="36" xfId="0" applyNumberFormat="1" applyFont="1" applyBorder="1" applyAlignment="1">
      <alignment horizontal="center" vertical="center" wrapText="1"/>
    </xf>
    <xf numFmtId="0" fontId="0" fillId="0" borderId="34" xfId="0" applyFill="1" applyBorder="1"/>
    <xf numFmtId="0" fontId="53" fillId="0" borderId="0" xfId="0" applyFont="1"/>
    <xf numFmtId="0" fontId="53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46" fillId="0" borderId="0" xfId="0" applyFont="1" applyAlignment="1">
      <alignment horizontal="left" wrapText="1"/>
    </xf>
    <xf numFmtId="1" fontId="0" fillId="0" borderId="34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0" fontId="41" fillId="0" borderId="15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0" borderId="34" xfId="0" applyFill="1" applyBorder="1" applyAlignment="1">
      <alignment horizontal="left" vertical="top"/>
    </xf>
    <xf numFmtId="0" fontId="41" fillId="0" borderId="1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5F5F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2.png"/><Relationship Id="rId1" Type="http://schemas.openxmlformats.org/officeDocument/2006/relationships/image" Target="../media/image3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wmf"/><Relationship Id="rId13" Type="http://schemas.openxmlformats.org/officeDocument/2006/relationships/image" Target="../media/image20.emf"/><Relationship Id="rId18" Type="http://schemas.openxmlformats.org/officeDocument/2006/relationships/image" Target="../media/image25.emf"/><Relationship Id="rId3" Type="http://schemas.openxmlformats.org/officeDocument/2006/relationships/image" Target="../media/image10.emf"/><Relationship Id="rId21" Type="http://schemas.openxmlformats.org/officeDocument/2006/relationships/image" Target="../media/image28.emf"/><Relationship Id="rId7" Type="http://schemas.openxmlformats.org/officeDocument/2006/relationships/image" Target="../media/image14.emf"/><Relationship Id="rId12" Type="http://schemas.openxmlformats.org/officeDocument/2006/relationships/image" Target="../media/image19.emf"/><Relationship Id="rId17" Type="http://schemas.openxmlformats.org/officeDocument/2006/relationships/image" Target="../media/image24.emf"/><Relationship Id="rId2" Type="http://schemas.openxmlformats.org/officeDocument/2006/relationships/image" Target="../media/image9.emf"/><Relationship Id="rId16" Type="http://schemas.openxmlformats.org/officeDocument/2006/relationships/image" Target="../media/image23.emf"/><Relationship Id="rId20" Type="http://schemas.openxmlformats.org/officeDocument/2006/relationships/image" Target="../media/image27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11" Type="http://schemas.openxmlformats.org/officeDocument/2006/relationships/image" Target="../media/image18.emf"/><Relationship Id="rId5" Type="http://schemas.openxmlformats.org/officeDocument/2006/relationships/image" Target="../media/image12.emf"/><Relationship Id="rId15" Type="http://schemas.openxmlformats.org/officeDocument/2006/relationships/image" Target="../media/image22.emf"/><Relationship Id="rId10" Type="http://schemas.openxmlformats.org/officeDocument/2006/relationships/image" Target="../media/image17.emf"/><Relationship Id="rId19" Type="http://schemas.openxmlformats.org/officeDocument/2006/relationships/image" Target="../media/image26.emf"/><Relationship Id="rId4" Type="http://schemas.openxmlformats.org/officeDocument/2006/relationships/image" Target="../media/image11.emf"/><Relationship Id="rId9" Type="http://schemas.openxmlformats.org/officeDocument/2006/relationships/image" Target="../media/image16.emf"/><Relationship Id="rId14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1562100</xdr:colOff>
      <xdr:row>35</xdr:row>
      <xdr:rowOff>180975</xdr:rowOff>
    </xdr:from>
    <xdr:to>
      <xdr:col>2</xdr:col>
      <xdr:colOff>438150</xdr:colOff>
      <xdr:row>37</xdr:row>
      <xdr:rowOff>79051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43075" y="8172450"/>
          <a:ext cx="1485900" cy="536251"/>
        </a:xfrm>
        <a:prstGeom prst="rect">
          <a:avLst/>
        </a:prstGeom>
        <a:noFill/>
      </xdr:spPr>
    </xdr:pic>
    <xdr:clientData/>
  </xdr:twoCellAnchor>
  <xdr:twoCellAnchor>
    <xdr:from>
      <xdr:col>1</xdr:col>
      <xdr:colOff>1827439</xdr:colOff>
      <xdr:row>38</xdr:row>
      <xdr:rowOff>101602</xdr:rowOff>
    </xdr:from>
    <xdr:to>
      <xdr:col>2</xdr:col>
      <xdr:colOff>121650</xdr:colOff>
      <xdr:row>39</xdr:row>
      <xdr:rowOff>162832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8868" y="9059638"/>
          <a:ext cx="902246" cy="299355"/>
        </a:xfrm>
        <a:prstGeom prst="rect">
          <a:avLst/>
        </a:prstGeom>
        <a:noFill/>
      </xdr:spPr>
    </xdr:pic>
    <xdr:clientData/>
  </xdr:twoCellAnchor>
  <xdr:twoCellAnchor>
    <xdr:from>
      <xdr:col>1</xdr:col>
      <xdr:colOff>1609725</xdr:colOff>
      <xdr:row>40</xdr:row>
      <xdr:rowOff>95250</xdr:rowOff>
    </xdr:from>
    <xdr:to>
      <xdr:col>2</xdr:col>
      <xdr:colOff>361950</xdr:colOff>
      <xdr:row>41</xdr:row>
      <xdr:rowOff>198997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90700" y="9239250"/>
          <a:ext cx="1362075" cy="303772"/>
        </a:xfrm>
        <a:prstGeom prst="rect">
          <a:avLst/>
        </a:prstGeom>
        <a:noFill/>
      </xdr:spPr>
    </xdr:pic>
    <xdr:clientData/>
  </xdr:twoCellAnchor>
  <xdr:twoCellAnchor>
    <xdr:from>
      <xdr:col>2</xdr:col>
      <xdr:colOff>295275</xdr:colOff>
      <xdr:row>58</xdr:row>
      <xdr:rowOff>76200</xdr:rowOff>
    </xdr:from>
    <xdr:to>
      <xdr:col>2</xdr:col>
      <xdr:colOff>651694</xdr:colOff>
      <xdr:row>60</xdr:row>
      <xdr:rowOff>57150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86100" y="12420600"/>
          <a:ext cx="356419" cy="3810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200025</xdr:colOff>
      <xdr:row>52</xdr:row>
      <xdr:rowOff>66675</xdr:rowOff>
    </xdr:from>
    <xdr:to>
      <xdr:col>2</xdr:col>
      <xdr:colOff>577215</xdr:colOff>
      <xdr:row>54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990850" y="11210925"/>
          <a:ext cx="377190" cy="4191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30390</xdr:colOff>
      <xdr:row>72</xdr:row>
      <xdr:rowOff>148318</xdr:rowOff>
    </xdr:from>
    <xdr:to>
      <xdr:col>5</xdr:col>
      <xdr:colOff>192315</xdr:colOff>
      <xdr:row>84</xdr:row>
      <xdr:rowOff>114386</xdr:rowOff>
    </xdr:to>
    <xdr:pic>
      <xdr:nvPicPr>
        <xdr:cNvPr id="8" name="Picture 7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1819" y="15739836"/>
          <a:ext cx="5389335" cy="22261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35</xdr:row>
      <xdr:rowOff>19050</xdr:rowOff>
    </xdr:from>
    <xdr:to>
      <xdr:col>9</xdr:col>
      <xdr:colOff>400051</xdr:colOff>
      <xdr:row>49</xdr:row>
      <xdr:rowOff>57151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7439025"/>
          <a:ext cx="5162550" cy="2705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169</xdr:row>
          <xdr:rowOff>180975</xdr:rowOff>
        </xdr:from>
        <xdr:to>
          <xdr:col>2</xdr:col>
          <xdr:colOff>66675</xdr:colOff>
          <xdr:row>171</xdr:row>
          <xdr:rowOff>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172</xdr:row>
          <xdr:rowOff>19050</xdr:rowOff>
        </xdr:from>
        <xdr:to>
          <xdr:col>2</xdr:col>
          <xdr:colOff>323850</xdr:colOff>
          <xdr:row>175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561975</xdr:colOff>
          <xdr:row>172</xdr:row>
          <xdr:rowOff>76200</xdr:rowOff>
        </xdr:from>
        <xdr:to>
          <xdr:col>4</xdr:col>
          <xdr:colOff>47625</xdr:colOff>
          <xdr:row>174</xdr:row>
          <xdr:rowOff>133350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177</xdr:row>
          <xdr:rowOff>161925</xdr:rowOff>
        </xdr:from>
        <xdr:to>
          <xdr:col>4</xdr:col>
          <xdr:colOff>800100</xdr:colOff>
          <xdr:row>179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172</xdr:row>
          <xdr:rowOff>142875</xdr:rowOff>
        </xdr:from>
        <xdr:to>
          <xdr:col>6</xdr:col>
          <xdr:colOff>447675</xdr:colOff>
          <xdr:row>174</xdr:row>
          <xdr:rowOff>85725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175</xdr:row>
          <xdr:rowOff>95250</xdr:rowOff>
        </xdr:from>
        <xdr:to>
          <xdr:col>4</xdr:col>
          <xdr:colOff>0</xdr:colOff>
          <xdr:row>177</xdr:row>
          <xdr:rowOff>104775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180</xdr:row>
          <xdr:rowOff>0</xdr:rowOff>
        </xdr:from>
        <xdr:to>
          <xdr:col>2</xdr:col>
          <xdr:colOff>485775</xdr:colOff>
          <xdr:row>180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180</xdr:row>
          <xdr:rowOff>0</xdr:rowOff>
        </xdr:from>
        <xdr:to>
          <xdr:col>6</xdr:col>
          <xdr:colOff>228600</xdr:colOff>
          <xdr:row>180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180</xdr:row>
          <xdr:rowOff>0</xdr:rowOff>
        </xdr:from>
        <xdr:to>
          <xdr:col>6</xdr:col>
          <xdr:colOff>238125</xdr:colOff>
          <xdr:row>180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180</xdr:row>
          <xdr:rowOff>0</xdr:rowOff>
        </xdr:from>
        <xdr:to>
          <xdr:col>3</xdr:col>
          <xdr:colOff>257175</xdr:colOff>
          <xdr:row>180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180</xdr:row>
          <xdr:rowOff>0</xdr:rowOff>
        </xdr:from>
        <xdr:to>
          <xdr:col>3</xdr:col>
          <xdr:colOff>466725</xdr:colOff>
          <xdr:row>180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180</xdr:row>
          <xdr:rowOff>0</xdr:rowOff>
        </xdr:from>
        <xdr:to>
          <xdr:col>3</xdr:col>
          <xdr:colOff>333375</xdr:colOff>
          <xdr:row>180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438150</xdr:colOff>
          <xdr:row>180</xdr:row>
          <xdr:rowOff>0</xdr:rowOff>
        </xdr:from>
        <xdr:to>
          <xdr:col>5</xdr:col>
          <xdr:colOff>657225</xdr:colOff>
          <xdr:row>180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180</xdr:row>
          <xdr:rowOff>0</xdr:rowOff>
        </xdr:from>
        <xdr:to>
          <xdr:col>7</xdr:col>
          <xdr:colOff>504825</xdr:colOff>
          <xdr:row>180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180</xdr:row>
          <xdr:rowOff>0</xdr:rowOff>
        </xdr:from>
        <xdr:to>
          <xdr:col>2</xdr:col>
          <xdr:colOff>9525</xdr:colOff>
          <xdr:row>180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180</xdr:row>
          <xdr:rowOff>0</xdr:rowOff>
        </xdr:from>
        <xdr:to>
          <xdr:col>6</xdr:col>
          <xdr:colOff>228600</xdr:colOff>
          <xdr:row>180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180</xdr:row>
          <xdr:rowOff>0</xdr:rowOff>
        </xdr:from>
        <xdr:to>
          <xdr:col>11</xdr:col>
          <xdr:colOff>142875</xdr:colOff>
          <xdr:row>180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179</xdr:row>
          <xdr:rowOff>0</xdr:rowOff>
        </xdr:from>
        <xdr:to>
          <xdr:col>7</xdr:col>
          <xdr:colOff>361950</xdr:colOff>
          <xdr:row>179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180</xdr:row>
          <xdr:rowOff>0</xdr:rowOff>
        </xdr:from>
        <xdr:to>
          <xdr:col>1</xdr:col>
          <xdr:colOff>552450</xdr:colOff>
          <xdr:row>180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180</xdr:row>
          <xdr:rowOff>0</xdr:rowOff>
        </xdr:from>
        <xdr:to>
          <xdr:col>6</xdr:col>
          <xdr:colOff>114300</xdr:colOff>
          <xdr:row>180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180</xdr:row>
          <xdr:rowOff>0</xdr:rowOff>
        </xdr:from>
        <xdr:to>
          <xdr:col>3</xdr:col>
          <xdr:colOff>85725</xdr:colOff>
          <xdr:row>180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180</xdr:row>
          <xdr:rowOff>0</xdr:rowOff>
        </xdr:from>
        <xdr:to>
          <xdr:col>3</xdr:col>
          <xdr:colOff>276225</xdr:colOff>
          <xdr:row>180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180</xdr:row>
          <xdr:rowOff>0</xdr:rowOff>
        </xdr:from>
        <xdr:to>
          <xdr:col>3</xdr:col>
          <xdr:colOff>504825</xdr:colOff>
          <xdr:row>180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409575</xdr:colOff>
          <xdr:row>180</xdr:row>
          <xdr:rowOff>0</xdr:rowOff>
        </xdr:from>
        <xdr:to>
          <xdr:col>4</xdr:col>
          <xdr:colOff>9525</xdr:colOff>
          <xdr:row>180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182</xdr:row>
          <xdr:rowOff>0</xdr:rowOff>
        </xdr:from>
        <xdr:to>
          <xdr:col>6</xdr:col>
          <xdr:colOff>180975</xdr:colOff>
          <xdr:row>182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182</xdr:row>
          <xdr:rowOff>0</xdr:rowOff>
        </xdr:from>
        <xdr:to>
          <xdr:col>6</xdr:col>
          <xdr:colOff>180975</xdr:colOff>
          <xdr:row>182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</xdr:colOff>
          <xdr:row>182</xdr:row>
          <xdr:rowOff>0</xdr:rowOff>
        </xdr:from>
        <xdr:to>
          <xdr:col>6</xdr:col>
          <xdr:colOff>180975</xdr:colOff>
          <xdr:row>182</xdr:row>
          <xdr:rowOff>0</xdr:rowOff>
        </xdr:to>
        <xdr:sp macro="" textlink="">
          <xdr:nvSpPr>
            <xdr:cNvPr id="4123" name="Object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400050</xdr:colOff>
          <xdr:row>180</xdr:row>
          <xdr:rowOff>0</xdr:rowOff>
        </xdr:from>
        <xdr:to>
          <xdr:col>6</xdr:col>
          <xdr:colOff>9525</xdr:colOff>
          <xdr:row>180</xdr:row>
          <xdr:rowOff>0</xdr:rowOff>
        </xdr:to>
        <xdr:sp macro="" textlink="">
          <xdr:nvSpPr>
            <xdr:cNvPr id="4124" name="Object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295275</xdr:colOff>
          <xdr:row>185</xdr:row>
          <xdr:rowOff>180975</xdr:rowOff>
        </xdr:from>
        <xdr:to>
          <xdr:col>2</xdr:col>
          <xdr:colOff>66675</xdr:colOff>
          <xdr:row>187</xdr:row>
          <xdr:rowOff>0</xdr:rowOff>
        </xdr:to>
        <xdr:sp macro="" textlink="">
          <xdr:nvSpPr>
            <xdr:cNvPr id="4125" name="Object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188</xdr:row>
          <xdr:rowOff>19050</xdr:rowOff>
        </xdr:from>
        <xdr:to>
          <xdr:col>2</xdr:col>
          <xdr:colOff>323850</xdr:colOff>
          <xdr:row>191</xdr:row>
          <xdr:rowOff>19050</xdr:rowOff>
        </xdr:to>
        <xdr:sp macro="" textlink="">
          <xdr:nvSpPr>
            <xdr:cNvPr id="4126" name="Object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561975</xdr:colOff>
          <xdr:row>188</xdr:row>
          <xdr:rowOff>76200</xdr:rowOff>
        </xdr:from>
        <xdr:to>
          <xdr:col>4</xdr:col>
          <xdr:colOff>47625</xdr:colOff>
          <xdr:row>190</xdr:row>
          <xdr:rowOff>133350</xdr:rowOff>
        </xdr:to>
        <xdr:sp macro="" textlink="">
          <xdr:nvSpPr>
            <xdr:cNvPr id="4127" name="Object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104775</xdr:colOff>
          <xdr:row>193</xdr:row>
          <xdr:rowOff>161925</xdr:rowOff>
        </xdr:from>
        <xdr:to>
          <xdr:col>4</xdr:col>
          <xdr:colOff>800100</xdr:colOff>
          <xdr:row>195</xdr:row>
          <xdr:rowOff>0</xdr:rowOff>
        </xdr:to>
        <xdr:sp macro="" textlink="">
          <xdr:nvSpPr>
            <xdr:cNvPr id="4128" name="Object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188</xdr:row>
          <xdr:rowOff>142875</xdr:rowOff>
        </xdr:from>
        <xdr:to>
          <xdr:col>6</xdr:col>
          <xdr:colOff>447675</xdr:colOff>
          <xdr:row>190</xdr:row>
          <xdr:rowOff>85725</xdr:rowOff>
        </xdr:to>
        <xdr:sp macro="" textlink="">
          <xdr:nvSpPr>
            <xdr:cNvPr id="4129" name="Object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352425</xdr:colOff>
          <xdr:row>191</xdr:row>
          <xdr:rowOff>95250</xdr:rowOff>
        </xdr:from>
        <xdr:to>
          <xdr:col>4</xdr:col>
          <xdr:colOff>0</xdr:colOff>
          <xdr:row>193</xdr:row>
          <xdr:rowOff>104775</xdr:rowOff>
        </xdr:to>
        <xdr:sp macro="" textlink="">
          <xdr:nvSpPr>
            <xdr:cNvPr id="4130" name="Object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571500</xdr:colOff>
          <xdr:row>196</xdr:row>
          <xdr:rowOff>0</xdr:rowOff>
        </xdr:from>
        <xdr:to>
          <xdr:col>2</xdr:col>
          <xdr:colOff>485775</xdr:colOff>
          <xdr:row>196</xdr:row>
          <xdr:rowOff>0</xdr:rowOff>
        </xdr:to>
        <xdr:sp macro="" textlink="">
          <xdr:nvSpPr>
            <xdr:cNvPr id="4131" name="Object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196</xdr:row>
          <xdr:rowOff>0</xdr:rowOff>
        </xdr:from>
        <xdr:to>
          <xdr:col>6</xdr:col>
          <xdr:colOff>228600</xdr:colOff>
          <xdr:row>196</xdr:row>
          <xdr:rowOff>0</xdr:rowOff>
        </xdr:to>
        <xdr:sp macro="" textlink="">
          <xdr:nvSpPr>
            <xdr:cNvPr id="4132" name="Object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95250</xdr:colOff>
          <xdr:row>196</xdr:row>
          <xdr:rowOff>0</xdr:rowOff>
        </xdr:from>
        <xdr:to>
          <xdr:col>6</xdr:col>
          <xdr:colOff>238125</xdr:colOff>
          <xdr:row>196</xdr:row>
          <xdr:rowOff>0</xdr:rowOff>
        </xdr:to>
        <xdr:sp macro="" textlink="">
          <xdr:nvSpPr>
            <xdr:cNvPr id="4133" name="Object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196</xdr:row>
          <xdr:rowOff>0</xdr:rowOff>
        </xdr:from>
        <xdr:to>
          <xdr:col>3</xdr:col>
          <xdr:colOff>257175</xdr:colOff>
          <xdr:row>196</xdr:row>
          <xdr:rowOff>0</xdr:rowOff>
        </xdr:to>
        <xdr:sp macro="" textlink="">
          <xdr:nvSpPr>
            <xdr:cNvPr id="4134" name="Object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196</xdr:row>
          <xdr:rowOff>0</xdr:rowOff>
        </xdr:from>
        <xdr:to>
          <xdr:col>3</xdr:col>
          <xdr:colOff>466725</xdr:colOff>
          <xdr:row>196</xdr:row>
          <xdr:rowOff>0</xdr:rowOff>
        </xdr:to>
        <xdr:sp macro="" textlink="">
          <xdr:nvSpPr>
            <xdr:cNvPr id="4135" name="Object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400050</xdr:colOff>
          <xdr:row>196</xdr:row>
          <xdr:rowOff>0</xdr:rowOff>
        </xdr:from>
        <xdr:to>
          <xdr:col>3</xdr:col>
          <xdr:colOff>333375</xdr:colOff>
          <xdr:row>196</xdr:row>
          <xdr:rowOff>0</xdr:rowOff>
        </xdr:to>
        <xdr:sp macro="" textlink="">
          <xdr:nvSpPr>
            <xdr:cNvPr id="4136" name="Object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438150</xdr:colOff>
          <xdr:row>196</xdr:row>
          <xdr:rowOff>0</xdr:rowOff>
        </xdr:from>
        <xdr:to>
          <xdr:col>5</xdr:col>
          <xdr:colOff>657225</xdr:colOff>
          <xdr:row>196</xdr:row>
          <xdr:rowOff>0</xdr:rowOff>
        </xdr:to>
        <xdr:sp macro="" textlink="">
          <xdr:nvSpPr>
            <xdr:cNvPr id="4137" name="Object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196</xdr:row>
          <xdr:rowOff>0</xdr:rowOff>
        </xdr:from>
        <xdr:to>
          <xdr:col>7</xdr:col>
          <xdr:colOff>504825</xdr:colOff>
          <xdr:row>196</xdr:row>
          <xdr:rowOff>0</xdr:rowOff>
        </xdr:to>
        <xdr:sp macro="" textlink="">
          <xdr:nvSpPr>
            <xdr:cNvPr id="4138" name="Object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95250</xdr:colOff>
          <xdr:row>196</xdr:row>
          <xdr:rowOff>0</xdr:rowOff>
        </xdr:from>
        <xdr:to>
          <xdr:col>2</xdr:col>
          <xdr:colOff>9525</xdr:colOff>
          <xdr:row>196</xdr:row>
          <xdr:rowOff>0</xdr:rowOff>
        </xdr:to>
        <xdr:sp macro="" textlink="">
          <xdr:nvSpPr>
            <xdr:cNvPr id="4139" name="Object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523875</xdr:colOff>
          <xdr:row>196</xdr:row>
          <xdr:rowOff>0</xdr:rowOff>
        </xdr:from>
        <xdr:to>
          <xdr:col>6</xdr:col>
          <xdr:colOff>228600</xdr:colOff>
          <xdr:row>196</xdr:row>
          <xdr:rowOff>0</xdr:rowOff>
        </xdr:to>
        <xdr:sp macro="" textlink="">
          <xdr:nvSpPr>
            <xdr:cNvPr id="4140" name="Object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195</xdr:row>
          <xdr:rowOff>0</xdr:rowOff>
        </xdr:from>
        <xdr:to>
          <xdr:col>7</xdr:col>
          <xdr:colOff>361950</xdr:colOff>
          <xdr:row>195</xdr:row>
          <xdr:rowOff>0</xdr:rowOff>
        </xdr:to>
        <xdr:sp macro="" textlink="">
          <xdr:nvSpPr>
            <xdr:cNvPr id="4141" name="Object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196</xdr:row>
          <xdr:rowOff>0</xdr:rowOff>
        </xdr:from>
        <xdr:to>
          <xdr:col>1</xdr:col>
          <xdr:colOff>552450</xdr:colOff>
          <xdr:row>196</xdr:row>
          <xdr:rowOff>0</xdr:rowOff>
        </xdr:to>
        <xdr:sp macro="" textlink="">
          <xdr:nvSpPr>
            <xdr:cNvPr id="4142" name="Object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196</xdr:row>
          <xdr:rowOff>0</xdr:rowOff>
        </xdr:from>
        <xdr:to>
          <xdr:col>6</xdr:col>
          <xdr:colOff>114300</xdr:colOff>
          <xdr:row>196</xdr:row>
          <xdr:rowOff>0</xdr:rowOff>
        </xdr:to>
        <xdr:sp macro="" textlink="">
          <xdr:nvSpPr>
            <xdr:cNvPr id="4143" name="Object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196</xdr:row>
          <xdr:rowOff>0</xdr:rowOff>
        </xdr:from>
        <xdr:to>
          <xdr:col>3</xdr:col>
          <xdr:colOff>85725</xdr:colOff>
          <xdr:row>196</xdr:row>
          <xdr:rowOff>0</xdr:rowOff>
        </xdr:to>
        <xdr:sp macro="" textlink="">
          <xdr:nvSpPr>
            <xdr:cNvPr id="4144" name="Object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196</xdr:row>
          <xdr:rowOff>0</xdr:rowOff>
        </xdr:from>
        <xdr:to>
          <xdr:col>3</xdr:col>
          <xdr:colOff>276225</xdr:colOff>
          <xdr:row>196</xdr:row>
          <xdr:rowOff>0</xdr:rowOff>
        </xdr:to>
        <xdr:sp macro="" textlink="">
          <xdr:nvSpPr>
            <xdr:cNvPr id="4145" name="Object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196</xdr:row>
          <xdr:rowOff>0</xdr:rowOff>
        </xdr:from>
        <xdr:to>
          <xdr:col>3</xdr:col>
          <xdr:colOff>504825</xdr:colOff>
          <xdr:row>196</xdr:row>
          <xdr:rowOff>0</xdr:rowOff>
        </xdr:to>
        <xdr:sp macro="" textlink="">
          <xdr:nvSpPr>
            <xdr:cNvPr id="4146" name="Object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409575</xdr:colOff>
          <xdr:row>196</xdr:row>
          <xdr:rowOff>0</xdr:rowOff>
        </xdr:from>
        <xdr:to>
          <xdr:col>4</xdr:col>
          <xdr:colOff>9525</xdr:colOff>
          <xdr:row>196</xdr:row>
          <xdr:rowOff>0</xdr:rowOff>
        </xdr:to>
        <xdr:sp macro="" textlink="">
          <xdr:nvSpPr>
            <xdr:cNvPr id="4147" name="Object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400050</xdr:colOff>
          <xdr:row>196</xdr:row>
          <xdr:rowOff>0</xdr:rowOff>
        </xdr:from>
        <xdr:to>
          <xdr:col>6</xdr:col>
          <xdr:colOff>9525</xdr:colOff>
          <xdr:row>196</xdr:row>
          <xdr:rowOff>0</xdr:rowOff>
        </xdr:to>
        <xdr:sp macro="" textlink="">
          <xdr:nvSpPr>
            <xdr:cNvPr id="4148" name="Object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460375</xdr:colOff>
      <xdr:row>1</xdr:row>
      <xdr:rowOff>142875</xdr:rowOff>
    </xdr:from>
    <xdr:to>
      <xdr:col>8</xdr:col>
      <xdr:colOff>412750</xdr:colOff>
      <xdr:row>16</xdr:row>
      <xdr:rowOff>26671</xdr:rowOff>
    </xdr:to>
    <xdr:pic>
      <xdr:nvPicPr>
        <xdr:cNvPr id="54" name="Picture 5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250" y="523875"/>
          <a:ext cx="4429125" cy="2820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26</xdr:row>
      <xdr:rowOff>180975</xdr:rowOff>
    </xdr:from>
    <xdr:to>
      <xdr:col>6</xdr:col>
      <xdr:colOff>373216</xdr:colOff>
      <xdr:row>31</xdr:row>
      <xdr:rowOff>88388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4191000"/>
          <a:ext cx="4497541" cy="8599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43982</xdr:colOff>
      <xdr:row>77</xdr:row>
      <xdr:rowOff>149057</xdr:rowOff>
    </xdr:from>
    <xdr:to>
      <xdr:col>8</xdr:col>
      <xdr:colOff>915068</xdr:colOff>
      <xdr:row>105</xdr:row>
      <xdr:rowOff>70317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587" y="16201189"/>
          <a:ext cx="8511139" cy="4974523"/>
        </a:xfrm>
        <a:prstGeom prst="rect">
          <a:avLst/>
        </a:prstGeom>
      </xdr:spPr>
    </xdr:pic>
    <xdr:clientData/>
  </xdr:twoCellAnchor>
  <xdr:twoCellAnchor editAs="oneCell">
    <xdr:from>
      <xdr:col>1</xdr:col>
      <xdr:colOff>367923</xdr:colOff>
      <xdr:row>23</xdr:row>
      <xdr:rowOff>196233</xdr:rowOff>
    </xdr:from>
    <xdr:to>
      <xdr:col>1</xdr:col>
      <xdr:colOff>1508760</xdr:colOff>
      <xdr:row>24</xdr:row>
      <xdr:rowOff>404149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7523" y="5415933"/>
          <a:ext cx="1140837" cy="406035"/>
        </a:xfrm>
        <a:prstGeom prst="rect">
          <a:avLst/>
        </a:prstGeom>
      </xdr:spPr>
    </xdr:pic>
    <xdr:clientData/>
  </xdr:twoCellAnchor>
  <xdr:twoCellAnchor editAs="oneCell">
    <xdr:from>
      <xdr:col>1</xdr:col>
      <xdr:colOff>367923</xdr:colOff>
      <xdr:row>57</xdr:row>
      <xdr:rowOff>196233</xdr:rowOff>
    </xdr:from>
    <xdr:to>
      <xdr:col>1</xdr:col>
      <xdr:colOff>1463842</xdr:colOff>
      <xdr:row>58</xdr:row>
      <xdr:rowOff>402392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9528" y="12348128"/>
          <a:ext cx="1095919" cy="406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emf"/><Relationship Id="rId18" Type="http://schemas.openxmlformats.org/officeDocument/2006/relationships/oleObject" Target="../embeddings/oleObject8.bin"/><Relationship Id="rId26" Type="http://schemas.openxmlformats.org/officeDocument/2006/relationships/image" Target="../media/image18.emf"/><Relationship Id="rId39" Type="http://schemas.openxmlformats.org/officeDocument/2006/relationships/image" Target="../media/image24.emf"/><Relationship Id="rId21" Type="http://schemas.openxmlformats.org/officeDocument/2006/relationships/oleObject" Target="../embeddings/oleObject10.bin"/><Relationship Id="rId34" Type="http://schemas.openxmlformats.org/officeDocument/2006/relationships/oleObject" Target="../embeddings/oleObject17.bin"/><Relationship Id="rId42" Type="http://schemas.openxmlformats.org/officeDocument/2006/relationships/oleObject" Target="../embeddings/oleObject21.bin"/><Relationship Id="rId47" Type="http://schemas.openxmlformats.org/officeDocument/2006/relationships/oleObject" Target="../embeddings/oleObject24.bin"/><Relationship Id="rId50" Type="http://schemas.openxmlformats.org/officeDocument/2006/relationships/oleObject" Target="../embeddings/oleObject27.bin"/><Relationship Id="rId55" Type="http://schemas.openxmlformats.org/officeDocument/2006/relationships/oleObject" Target="../embeddings/oleObject31.bin"/><Relationship Id="rId63" Type="http://schemas.openxmlformats.org/officeDocument/2006/relationships/oleObject" Target="../embeddings/oleObject39.bin"/><Relationship Id="rId68" Type="http://schemas.openxmlformats.org/officeDocument/2006/relationships/oleObject" Target="../embeddings/oleObject44.bin"/><Relationship Id="rId76" Type="http://schemas.openxmlformats.org/officeDocument/2006/relationships/oleObject" Target="../embeddings/oleObject52.bin"/><Relationship Id="rId7" Type="http://schemas.openxmlformats.org/officeDocument/2006/relationships/image" Target="../media/image9.emf"/><Relationship Id="rId71" Type="http://schemas.openxmlformats.org/officeDocument/2006/relationships/oleObject" Target="../embeddings/oleObject47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7.bin"/><Relationship Id="rId29" Type="http://schemas.openxmlformats.org/officeDocument/2006/relationships/oleObject" Target="../embeddings/oleObject14.bin"/><Relationship Id="rId11" Type="http://schemas.openxmlformats.org/officeDocument/2006/relationships/image" Target="../media/image11.emf"/><Relationship Id="rId24" Type="http://schemas.openxmlformats.org/officeDocument/2006/relationships/image" Target="../media/image17.emf"/><Relationship Id="rId32" Type="http://schemas.openxmlformats.org/officeDocument/2006/relationships/oleObject" Target="../embeddings/oleObject16.bin"/><Relationship Id="rId37" Type="http://schemas.openxmlformats.org/officeDocument/2006/relationships/image" Target="../media/image23.emf"/><Relationship Id="rId40" Type="http://schemas.openxmlformats.org/officeDocument/2006/relationships/oleObject" Target="../embeddings/oleObject20.bin"/><Relationship Id="rId45" Type="http://schemas.openxmlformats.org/officeDocument/2006/relationships/image" Target="../media/image27.emf"/><Relationship Id="rId53" Type="http://schemas.openxmlformats.org/officeDocument/2006/relationships/oleObject" Target="../embeddings/oleObject30.bin"/><Relationship Id="rId58" Type="http://schemas.openxmlformats.org/officeDocument/2006/relationships/oleObject" Target="../embeddings/oleObject34.bin"/><Relationship Id="rId66" Type="http://schemas.openxmlformats.org/officeDocument/2006/relationships/oleObject" Target="../embeddings/oleObject42.bin"/><Relationship Id="rId74" Type="http://schemas.openxmlformats.org/officeDocument/2006/relationships/oleObject" Target="../embeddings/oleObject50.bin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23" Type="http://schemas.openxmlformats.org/officeDocument/2006/relationships/oleObject" Target="../embeddings/oleObject11.bin"/><Relationship Id="rId28" Type="http://schemas.openxmlformats.org/officeDocument/2006/relationships/image" Target="../media/image19.emf"/><Relationship Id="rId36" Type="http://schemas.openxmlformats.org/officeDocument/2006/relationships/oleObject" Target="../embeddings/oleObject18.bin"/><Relationship Id="rId49" Type="http://schemas.openxmlformats.org/officeDocument/2006/relationships/oleObject" Target="../embeddings/oleObject26.bin"/><Relationship Id="rId57" Type="http://schemas.openxmlformats.org/officeDocument/2006/relationships/oleObject" Target="../embeddings/oleObject33.bin"/><Relationship Id="rId61" Type="http://schemas.openxmlformats.org/officeDocument/2006/relationships/oleObject" Target="../embeddings/oleObject37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15.wmf"/><Relationship Id="rId31" Type="http://schemas.openxmlformats.org/officeDocument/2006/relationships/oleObject" Target="../embeddings/oleObject15.bin"/><Relationship Id="rId44" Type="http://schemas.openxmlformats.org/officeDocument/2006/relationships/oleObject" Target="../embeddings/oleObject22.bin"/><Relationship Id="rId52" Type="http://schemas.openxmlformats.org/officeDocument/2006/relationships/oleObject" Target="../embeddings/oleObject29.bin"/><Relationship Id="rId60" Type="http://schemas.openxmlformats.org/officeDocument/2006/relationships/oleObject" Target="../embeddings/oleObject36.bin"/><Relationship Id="rId65" Type="http://schemas.openxmlformats.org/officeDocument/2006/relationships/oleObject" Target="../embeddings/oleObject41.bin"/><Relationship Id="rId73" Type="http://schemas.openxmlformats.org/officeDocument/2006/relationships/oleObject" Target="../embeddings/oleObject49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10.emf"/><Relationship Id="rId14" Type="http://schemas.openxmlformats.org/officeDocument/2006/relationships/oleObject" Target="../embeddings/oleObject6.bin"/><Relationship Id="rId22" Type="http://schemas.openxmlformats.org/officeDocument/2006/relationships/image" Target="../media/image16.emf"/><Relationship Id="rId27" Type="http://schemas.openxmlformats.org/officeDocument/2006/relationships/oleObject" Target="../embeddings/oleObject13.bin"/><Relationship Id="rId30" Type="http://schemas.openxmlformats.org/officeDocument/2006/relationships/image" Target="../media/image20.emf"/><Relationship Id="rId35" Type="http://schemas.openxmlformats.org/officeDocument/2006/relationships/image" Target="../media/image22.emf"/><Relationship Id="rId43" Type="http://schemas.openxmlformats.org/officeDocument/2006/relationships/image" Target="../media/image26.emf"/><Relationship Id="rId48" Type="http://schemas.openxmlformats.org/officeDocument/2006/relationships/oleObject" Target="../embeddings/oleObject25.bin"/><Relationship Id="rId56" Type="http://schemas.openxmlformats.org/officeDocument/2006/relationships/oleObject" Target="../embeddings/oleObject32.bin"/><Relationship Id="rId64" Type="http://schemas.openxmlformats.org/officeDocument/2006/relationships/oleObject" Target="../embeddings/oleObject40.bin"/><Relationship Id="rId69" Type="http://schemas.openxmlformats.org/officeDocument/2006/relationships/oleObject" Target="../embeddings/oleObject45.bin"/><Relationship Id="rId8" Type="http://schemas.openxmlformats.org/officeDocument/2006/relationships/oleObject" Target="../embeddings/oleObject3.bin"/><Relationship Id="rId51" Type="http://schemas.openxmlformats.org/officeDocument/2006/relationships/oleObject" Target="../embeddings/oleObject28.bin"/><Relationship Id="rId72" Type="http://schemas.openxmlformats.org/officeDocument/2006/relationships/oleObject" Target="../embeddings/oleObject48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14.emf"/><Relationship Id="rId25" Type="http://schemas.openxmlformats.org/officeDocument/2006/relationships/oleObject" Target="../embeddings/oleObject12.bin"/><Relationship Id="rId33" Type="http://schemas.openxmlformats.org/officeDocument/2006/relationships/image" Target="../media/image21.emf"/><Relationship Id="rId38" Type="http://schemas.openxmlformats.org/officeDocument/2006/relationships/oleObject" Target="../embeddings/oleObject19.bin"/><Relationship Id="rId46" Type="http://schemas.openxmlformats.org/officeDocument/2006/relationships/oleObject" Target="../embeddings/oleObject23.bin"/><Relationship Id="rId59" Type="http://schemas.openxmlformats.org/officeDocument/2006/relationships/oleObject" Target="../embeddings/oleObject35.bin"/><Relationship Id="rId67" Type="http://schemas.openxmlformats.org/officeDocument/2006/relationships/oleObject" Target="../embeddings/oleObject43.bin"/><Relationship Id="rId20" Type="http://schemas.openxmlformats.org/officeDocument/2006/relationships/oleObject" Target="../embeddings/oleObject9.bin"/><Relationship Id="rId41" Type="http://schemas.openxmlformats.org/officeDocument/2006/relationships/image" Target="../media/image25.emf"/><Relationship Id="rId54" Type="http://schemas.openxmlformats.org/officeDocument/2006/relationships/image" Target="../media/image28.emf"/><Relationship Id="rId62" Type="http://schemas.openxmlformats.org/officeDocument/2006/relationships/oleObject" Target="../embeddings/oleObject38.bin"/><Relationship Id="rId70" Type="http://schemas.openxmlformats.org/officeDocument/2006/relationships/oleObject" Target="../embeddings/oleObject46.bin"/><Relationship Id="rId75" Type="http://schemas.openxmlformats.org/officeDocument/2006/relationships/oleObject" Target="../embeddings/oleObject51.bin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2"/>
  <sheetViews>
    <sheetView zoomScale="84" zoomScaleNormal="84" zoomScaleSheetLayoutView="84" workbookViewId="0">
      <selection activeCell="D3" sqref="D3"/>
    </sheetView>
  </sheetViews>
  <sheetFormatPr defaultColWidth="9.140625" defaultRowHeight="14.25"/>
  <cols>
    <col min="1" max="1" width="2.7109375" style="108" customWidth="1"/>
    <col min="2" max="2" width="39.140625" style="108" customWidth="1"/>
    <col min="3" max="3" width="12.7109375" style="108" customWidth="1"/>
    <col min="4" max="4" width="16.28515625" style="108" customWidth="1"/>
    <col min="5" max="5" width="10.28515625" style="108" customWidth="1"/>
    <col min="6" max="16384" width="9.140625" style="108"/>
  </cols>
  <sheetData>
    <row r="2" spans="2:4" ht="16.5" customHeight="1">
      <c r="B2" s="108" t="s">
        <v>336</v>
      </c>
    </row>
    <row r="3" spans="2:4">
      <c r="B3" s="113"/>
    </row>
    <row r="4" spans="2:4" ht="15">
      <c r="B4" s="114" t="s">
        <v>10</v>
      </c>
    </row>
    <row r="5" spans="2:4">
      <c r="C5" s="115" t="s">
        <v>66</v>
      </c>
      <c r="D5" s="108" t="s">
        <v>67</v>
      </c>
    </row>
    <row r="6" spans="2:4">
      <c r="B6" s="108" t="s">
        <v>0</v>
      </c>
    </row>
    <row r="7" spans="2:4">
      <c r="B7" s="116"/>
    </row>
    <row r="8" spans="2:4">
      <c r="B8" s="108" t="s">
        <v>82</v>
      </c>
      <c r="C8" s="117">
        <v>0.4</v>
      </c>
      <c r="D8" s="118" t="s">
        <v>65</v>
      </c>
    </row>
    <row r="9" spans="2:4">
      <c r="B9" s="108" t="s">
        <v>80</v>
      </c>
      <c r="C9" s="117">
        <v>0.7</v>
      </c>
      <c r="D9" s="118" t="s">
        <v>4</v>
      </c>
    </row>
    <row r="10" spans="2:4">
      <c r="B10" s="108" t="s">
        <v>81</v>
      </c>
      <c r="C10" s="117">
        <v>0.5</v>
      </c>
      <c r="D10" s="118" t="s">
        <v>4</v>
      </c>
    </row>
    <row r="11" spans="2:4">
      <c r="B11" s="108" t="s">
        <v>1</v>
      </c>
      <c r="C11" s="117" t="s">
        <v>2</v>
      </c>
      <c r="D11" s="118"/>
    </row>
    <row r="12" spans="2:4">
      <c r="B12" s="108" t="s">
        <v>3</v>
      </c>
      <c r="C12" s="117">
        <v>0.61</v>
      </c>
      <c r="D12" s="118" t="s">
        <v>5</v>
      </c>
    </row>
    <row r="13" spans="2:4">
      <c r="B13" s="108" t="s">
        <v>6</v>
      </c>
      <c r="C13" s="117">
        <v>21</v>
      </c>
      <c r="D13" s="118" t="s">
        <v>4</v>
      </c>
    </row>
    <row r="14" spans="2:4" ht="14.25" customHeight="1">
      <c r="B14" s="108" t="s">
        <v>7</v>
      </c>
      <c r="C14" s="117" t="s">
        <v>8</v>
      </c>
      <c r="D14" s="118"/>
    </row>
    <row r="15" spans="2:4">
      <c r="B15" s="108" t="s">
        <v>9</v>
      </c>
      <c r="C15" s="117">
        <v>1800</v>
      </c>
      <c r="D15" s="118" t="s">
        <v>4</v>
      </c>
    </row>
    <row r="17" spans="2:12" ht="15">
      <c r="B17" s="114" t="s">
        <v>74</v>
      </c>
    </row>
    <row r="18" spans="2:12">
      <c r="B18" s="108" t="s">
        <v>13</v>
      </c>
    </row>
    <row r="19" spans="2:12">
      <c r="B19" s="119" t="s">
        <v>73</v>
      </c>
      <c r="C19" s="115">
        <v>0.9</v>
      </c>
      <c r="D19" s="108" t="s">
        <v>4</v>
      </c>
    </row>
    <row r="20" spans="2:12">
      <c r="B20" s="108" t="s">
        <v>14</v>
      </c>
      <c r="C20" s="162" t="s">
        <v>11</v>
      </c>
    </row>
    <row r="21" spans="2:12">
      <c r="B21" s="108" t="s">
        <v>12</v>
      </c>
      <c r="C21" s="162">
        <v>1.4E-2</v>
      </c>
    </row>
    <row r="23" spans="2:12">
      <c r="B23" s="112" t="s">
        <v>72</v>
      </c>
      <c r="C23" s="108" t="s">
        <v>16</v>
      </c>
      <c r="D23" s="163">
        <f>C19</f>
        <v>0.9</v>
      </c>
      <c r="E23" s="108" t="s">
        <v>4</v>
      </c>
      <c r="L23" s="126"/>
    </row>
    <row r="24" spans="2:12">
      <c r="B24" s="112" t="s">
        <v>229</v>
      </c>
      <c r="C24" s="108" t="s">
        <v>15</v>
      </c>
      <c r="D24" s="163">
        <f>D23/2</f>
        <v>0.45</v>
      </c>
      <c r="E24" s="108" t="s">
        <v>4</v>
      </c>
    </row>
    <row r="25" spans="2:12" ht="16.5">
      <c r="B25" s="112" t="s">
        <v>76</v>
      </c>
      <c r="D25" s="163">
        <f>D23*D24</f>
        <v>0.40500000000000003</v>
      </c>
      <c r="E25" s="108" t="s">
        <v>230</v>
      </c>
    </row>
    <row r="26" spans="2:12">
      <c r="B26" s="112" t="s">
        <v>231</v>
      </c>
      <c r="C26" s="108" t="s">
        <v>18</v>
      </c>
      <c r="D26" s="164">
        <f>C8/D25</f>
        <v>0.98765432098765427</v>
      </c>
      <c r="E26" s="108" t="s">
        <v>5</v>
      </c>
    </row>
    <row r="27" spans="2:12">
      <c r="B27" s="112" t="s">
        <v>232</v>
      </c>
      <c r="C27" s="108" t="s">
        <v>20</v>
      </c>
      <c r="D27" s="164">
        <f>D26/SQRT(9.81*D24)</f>
        <v>0.47007181001714055</v>
      </c>
      <c r="E27" s="108" t="s">
        <v>228</v>
      </c>
      <c r="F27" s="108" t="s">
        <v>19</v>
      </c>
    </row>
    <row r="28" spans="2:12" ht="18" customHeight="1">
      <c r="C28" s="120" t="s">
        <v>233</v>
      </c>
    </row>
    <row r="29" spans="2:12">
      <c r="B29" s="112" t="s">
        <v>21</v>
      </c>
      <c r="C29" s="121" t="s">
        <v>234</v>
      </c>
      <c r="D29" s="163">
        <f>D23+2*D24</f>
        <v>1.8</v>
      </c>
      <c r="E29" s="108" t="s">
        <v>4</v>
      </c>
    </row>
    <row r="30" spans="2:12">
      <c r="B30" s="112" t="s">
        <v>22</v>
      </c>
      <c r="C30" s="108" t="s">
        <v>23</v>
      </c>
      <c r="D30" s="164">
        <f>D25/D29</f>
        <v>0.22500000000000001</v>
      </c>
    </row>
    <row r="32" spans="2:12" ht="15">
      <c r="B32" s="114" t="s">
        <v>75</v>
      </c>
      <c r="I32" s="122"/>
    </row>
    <row r="33" spans="2:9" ht="15">
      <c r="B33" s="114"/>
      <c r="I33" s="122"/>
    </row>
    <row r="34" spans="2:9" ht="17.25" customHeight="1">
      <c r="B34" s="123" t="s">
        <v>68</v>
      </c>
      <c r="C34" s="123"/>
      <c r="D34" s="123"/>
      <c r="E34" s="123"/>
    </row>
    <row r="35" spans="2:9" ht="19.5" customHeight="1">
      <c r="B35" s="123" t="s">
        <v>69</v>
      </c>
      <c r="C35" s="123"/>
      <c r="D35" s="123"/>
      <c r="E35" s="123"/>
    </row>
    <row r="36" spans="2:9">
      <c r="B36" s="108" t="s">
        <v>70</v>
      </c>
    </row>
    <row r="37" spans="2:9" ht="18.75">
      <c r="B37" s="112" t="s">
        <v>235</v>
      </c>
      <c r="C37" s="112"/>
      <c r="D37" s="165">
        <f>0.5*(D26^2/(2*9.81)-C12^2/(2*9.81))</f>
        <v>1.5376173745300316E-2</v>
      </c>
      <c r="E37" s="108" t="s">
        <v>4</v>
      </c>
    </row>
    <row r="39" spans="2:9" ht="18.75">
      <c r="B39" s="112" t="s">
        <v>236</v>
      </c>
      <c r="C39" s="112"/>
      <c r="D39" s="164">
        <f>C13*((C21^2)*(D26^2)/(D30^(4/3)))</f>
        <v>2.933877285953157E-2</v>
      </c>
      <c r="E39" s="108" t="s">
        <v>4</v>
      </c>
    </row>
    <row r="42" spans="2:9" ht="18.75">
      <c r="B42" s="112" t="s">
        <v>237</v>
      </c>
      <c r="C42" s="112"/>
      <c r="D42" s="164">
        <f>0.7*(D26^2/(2*9.81)-C12^2/(2*9.81))</f>
        <v>2.1526643243420442E-2</v>
      </c>
      <c r="E42" s="108" t="s">
        <v>4</v>
      </c>
    </row>
    <row r="44" spans="2:9" ht="18.75">
      <c r="C44" s="122" t="s">
        <v>238</v>
      </c>
      <c r="E44" s="165">
        <f>D37+D39+D42</f>
        <v>6.6241589848252319E-2</v>
      </c>
      <c r="F44" s="108" t="s">
        <v>4</v>
      </c>
    </row>
    <row r="45" spans="2:9">
      <c r="C45" s="122"/>
      <c r="E45" s="124"/>
    </row>
    <row r="46" spans="2:9">
      <c r="C46" s="122"/>
      <c r="E46" s="124"/>
    </row>
    <row r="48" spans="2:9" ht="15">
      <c r="B48" s="114" t="s">
        <v>77</v>
      </c>
    </row>
    <row r="50" spans="2:6">
      <c r="B50" s="112" t="s">
        <v>24</v>
      </c>
      <c r="C50" s="115">
        <v>1800</v>
      </c>
      <c r="D50" s="108" t="s">
        <v>4</v>
      </c>
    </row>
    <row r="51" spans="2:6">
      <c r="B51" s="112" t="s">
        <v>25</v>
      </c>
      <c r="C51" s="115">
        <v>0.5</v>
      </c>
      <c r="D51" s="108" t="s">
        <v>4</v>
      </c>
    </row>
    <row r="52" spans="2:6">
      <c r="B52" s="112" t="s">
        <v>26</v>
      </c>
      <c r="C52" s="108" t="s">
        <v>27</v>
      </c>
      <c r="E52" s="163">
        <f>C50+C51</f>
        <v>1800.5</v>
      </c>
      <c r="F52" s="108" t="s">
        <v>4</v>
      </c>
    </row>
    <row r="53" spans="2:6">
      <c r="B53" s="112"/>
      <c r="C53" s="112"/>
    </row>
    <row r="54" spans="2:6">
      <c r="B54" s="108" t="s">
        <v>28</v>
      </c>
      <c r="C54" s="112"/>
      <c r="E54" s="165">
        <f>C12^2/(2*9.81)</f>
        <v>1.8965341488277266E-2</v>
      </c>
      <c r="F54" s="108" t="s">
        <v>5</v>
      </c>
    </row>
    <row r="56" spans="2:6">
      <c r="B56" s="112" t="s">
        <v>71</v>
      </c>
      <c r="C56" s="108" t="s">
        <v>29</v>
      </c>
      <c r="E56" s="163">
        <f>E52+E54</f>
        <v>1800.5189653414882</v>
      </c>
      <c r="F56" s="108" t="s">
        <v>4</v>
      </c>
    </row>
    <row r="57" spans="2:6">
      <c r="B57" s="112" t="s">
        <v>30</v>
      </c>
      <c r="E57" s="166">
        <f>D37</f>
        <v>1.5376173745300316E-2</v>
      </c>
      <c r="F57" s="108" t="s">
        <v>4</v>
      </c>
    </row>
    <row r="58" spans="2:6">
      <c r="B58" s="112" t="s">
        <v>31</v>
      </c>
      <c r="C58" s="108" t="s">
        <v>32</v>
      </c>
      <c r="E58" s="163">
        <f>E56-E57</f>
        <v>1800.5035891677428</v>
      </c>
      <c r="F58" s="108" t="s">
        <v>4</v>
      </c>
    </row>
    <row r="60" spans="2:6">
      <c r="B60" s="112" t="s">
        <v>33</v>
      </c>
      <c r="C60" s="112"/>
      <c r="E60" s="164">
        <f>D26^2/(2*9.81)</f>
        <v>4.9717688978877898E-2</v>
      </c>
      <c r="F60" s="108" t="s">
        <v>4</v>
      </c>
    </row>
    <row r="62" spans="2:6">
      <c r="B62" s="112" t="s">
        <v>34</v>
      </c>
      <c r="E62" s="163">
        <f>E58-E60</f>
        <v>1800.4538714787639</v>
      </c>
      <c r="F62" s="108" t="s">
        <v>4</v>
      </c>
    </row>
    <row r="63" spans="2:6">
      <c r="B63" s="112" t="s">
        <v>35</v>
      </c>
      <c r="E63" s="163">
        <f>E62-C15</f>
        <v>0.45387147876385825</v>
      </c>
      <c r="F63" s="108" t="s">
        <v>4</v>
      </c>
    </row>
    <row r="64" spans="2:6">
      <c r="B64" s="112" t="s">
        <v>36</v>
      </c>
      <c r="E64" s="163">
        <f>E62-E63</f>
        <v>1800</v>
      </c>
      <c r="F64" s="108" t="s">
        <v>4</v>
      </c>
    </row>
    <row r="65" spans="2:6">
      <c r="B65" s="112" t="s">
        <v>37</v>
      </c>
      <c r="E65" s="167">
        <f>D39</f>
        <v>2.933877285953157E-2</v>
      </c>
      <c r="F65" s="108" t="s">
        <v>4</v>
      </c>
    </row>
    <row r="66" spans="2:6">
      <c r="B66" s="112" t="s">
        <v>38</v>
      </c>
      <c r="E66" s="168">
        <f>E58-E65</f>
        <v>1800.4742503948833</v>
      </c>
      <c r="F66" s="108" t="s">
        <v>4</v>
      </c>
    </row>
    <row r="67" spans="2:6">
      <c r="B67" s="112" t="s">
        <v>39</v>
      </c>
      <c r="E67" s="168">
        <f>E66-E60</f>
        <v>1800.4245327059043</v>
      </c>
      <c r="F67" s="108" t="s">
        <v>4</v>
      </c>
    </row>
    <row r="68" spans="2:6">
      <c r="B68" s="112" t="s">
        <v>40</v>
      </c>
      <c r="E68" s="168">
        <f>E67-E63</f>
        <v>1799.9706612271405</v>
      </c>
      <c r="F68" s="108" t="s">
        <v>4</v>
      </c>
    </row>
    <row r="69" spans="2:6">
      <c r="B69" s="112" t="s">
        <v>41</v>
      </c>
      <c r="E69" s="169">
        <f>D42</f>
        <v>2.1526643243420442E-2</v>
      </c>
      <c r="F69" s="108" t="s">
        <v>4</v>
      </c>
    </row>
    <row r="70" spans="2:6">
      <c r="B70" s="112" t="s">
        <v>42</v>
      </c>
      <c r="E70" s="168">
        <f>E66-E69</f>
        <v>1800.4527237516397</v>
      </c>
      <c r="F70" s="108" t="s">
        <v>4</v>
      </c>
    </row>
    <row r="71" spans="2:6">
      <c r="B71" s="112" t="s">
        <v>43</v>
      </c>
      <c r="E71" s="168">
        <f>E70-E54</f>
        <v>1800.4337584101515</v>
      </c>
      <c r="F71" s="108" t="s">
        <v>4</v>
      </c>
    </row>
    <row r="72" spans="2:6">
      <c r="B72" s="112" t="s">
        <v>44</v>
      </c>
      <c r="E72" s="168">
        <f>E71-C10</f>
        <v>1799.9337584101515</v>
      </c>
      <c r="F72" s="108" t="s">
        <v>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view="pageBreakPreview" zoomScale="75" zoomScaleNormal="87" zoomScaleSheetLayoutView="75" workbookViewId="0">
      <selection activeCell="J21" sqref="J21"/>
    </sheetView>
  </sheetViews>
  <sheetFormatPr defaultColWidth="9.140625" defaultRowHeight="14.25"/>
  <cols>
    <col min="1" max="1" width="7.140625" style="127" customWidth="1"/>
    <col min="2" max="3" width="9.140625" style="127"/>
    <col min="4" max="4" width="7.5703125" style="127" customWidth="1"/>
    <col min="5" max="5" width="9.140625" style="127"/>
    <col min="6" max="6" width="12.140625" style="127" customWidth="1"/>
    <col min="7" max="7" width="9.140625" style="127"/>
    <col min="8" max="8" width="7.42578125" style="127" customWidth="1"/>
    <col min="9" max="9" width="8" style="127" customWidth="1"/>
    <col min="10" max="16384" width="9.140625" style="127"/>
  </cols>
  <sheetData>
    <row r="2" spans="2:7">
      <c r="B2" s="108" t="s">
        <v>78</v>
      </c>
    </row>
    <row r="3" spans="2:7" ht="15.75" customHeight="1">
      <c r="C3" s="128"/>
    </row>
    <row r="4" spans="2:7" ht="15.75" customHeight="1">
      <c r="B4" s="129" t="s">
        <v>46</v>
      </c>
      <c r="C4" s="129" t="s">
        <v>45</v>
      </c>
      <c r="D4" s="130"/>
      <c r="E4" s="130"/>
    </row>
    <row r="5" spans="2:7" ht="15.75" customHeight="1">
      <c r="B5" s="131"/>
      <c r="C5" s="131"/>
      <c r="F5" s="110" t="s">
        <v>66</v>
      </c>
      <c r="G5" s="109" t="s">
        <v>67</v>
      </c>
    </row>
    <row r="6" spans="2:7" ht="15.75" customHeight="1">
      <c r="C6" s="132" t="s">
        <v>47</v>
      </c>
    </row>
    <row r="8" spans="2:7" ht="18">
      <c r="B8" s="133" t="s">
        <v>79</v>
      </c>
      <c r="F8" s="134">
        <v>0.4</v>
      </c>
      <c r="G8" s="135" t="s">
        <v>239</v>
      </c>
    </row>
    <row r="9" spans="2:7" ht="15">
      <c r="B9" s="133" t="s">
        <v>80</v>
      </c>
      <c r="F9" s="134">
        <v>0.7</v>
      </c>
      <c r="G9" s="135" t="s">
        <v>4</v>
      </c>
    </row>
    <row r="10" spans="2:7" ht="15">
      <c r="B10" s="133" t="s">
        <v>81</v>
      </c>
      <c r="F10" s="134">
        <v>0.5</v>
      </c>
      <c r="G10" s="135" t="s">
        <v>4</v>
      </c>
    </row>
    <row r="11" spans="2:7" ht="15">
      <c r="B11" s="133" t="s">
        <v>1</v>
      </c>
      <c r="F11" s="134" t="s">
        <v>2</v>
      </c>
      <c r="G11" s="135"/>
    </row>
    <row r="12" spans="2:7" ht="15">
      <c r="B12" s="133" t="s">
        <v>3</v>
      </c>
      <c r="F12" s="134">
        <v>0.61</v>
      </c>
      <c r="G12" s="135" t="s">
        <v>5</v>
      </c>
    </row>
    <row r="13" spans="2:7" ht="15">
      <c r="B13" s="133" t="s">
        <v>48</v>
      </c>
      <c r="F13" s="134">
        <v>8</v>
      </c>
      <c r="G13" s="135" t="s">
        <v>4</v>
      </c>
    </row>
    <row r="14" spans="2:7" ht="15">
      <c r="B14" s="133" t="s">
        <v>49</v>
      </c>
      <c r="F14" s="136">
        <v>0.6</v>
      </c>
      <c r="G14" s="137" t="s">
        <v>4</v>
      </c>
    </row>
    <row r="15" spans="2:7" ht="15">
      <c r="B15" s="133" t="s">
        <v>9</v>
      </c>
      <c r="F15" s="136">
        <v>1800</v>
      </c>
      <c r="G15" s="137" t="s">
        <v>4</v>
      </c>
    </row>
    <row r="16" spans="2:7" ht="15.75" customHeight="1">
      <c r="B16" s="127" t="s">
        <v>240</v>
      </c>
      <c r="C16" s="131"/>
      <c r="F16" s="138" t="s">
        <v>50</v>
      </c>
      <c r="G16" s="139"/>
    </row>
    <row r="17" spans="2:11" ht="15.75" customHeight="1"/>
    <row r="18" spans="2:11" ht="21.75" customHeight="1">
      <c r="B18" s="140" t="s">
        <v>241</v>
      </c>
      <c r="C18" s="141"/>
      <c r="D18" s="141"/>
      <c r="E18" s="141"/>
      <c r="F18" s="141"/>
      <c r="G18" s="141"/>
    </row>
    <row r="20" spans="2:11" ht="18">
      <c r="B20" s="141" t="s">
        <v>51</v>
      </c>
      <c r="F20" s="141" t="s">
        <v>242</v>
      </c>
      <c r="H20" s="167">
        <f>(3.141*F14^2)/4</f>
        <v>0.28269</v>
      </c>
      <c r="I20" s="127" t="s">
        <v>17</v>
      </c>
    </row>
    <row r="21" spans="2:11" ht="18" customHeight="1">
      <c r="B21" s="141" t="s">
        <v>52</v>
      </c>
      <c r="F21" s="141" t="s">
        <v>55</v>
      </c>
      <c r="H21" s="167">
        <f>F8/H20</f>
        <v>1.4149775372315965</v>
      </c>
      <c r="I21" s="127" t="s">
        <v>5</v>
      </c>
    </row>
    <row r="22" spans="2:11" ht="18" customHeight="1">
      <c r="B22" s="141" t="s">
        <v>53</v>
      </c>
      <c r="H22" s="138">
        <v>1.4E-2</v>
      </c>
    </row>
    <row r="23" spans="2:11" ht="18" customHeight="1">
      <c r="B23" s="141" t="s">
        <v>54</v>
      </c>
      <c r="H23" s="170">
        <v>0.5</v>
      </c>
    </row>
    <row r="24" spans="2:11" ht="15">
      <c r="B24" s="141" t="s">
        <v>56</v>
      </c>
      <c r="H24" s="171">
        <v>1</v>
      </c>
    </row>
    <row r="25" spans="2:11" ht="18">
      <c r="B25" s="141" t="s">
        <v>57</v>
      </c>
      <c r="F25" s="141" t="s">
        <v>243</v>
      </c>
      <c r="H25" s="167">
        <f>0.5*(H21^2/(2*9.81))</f>
        <v>5.1023481928389243E-2</v>
      </c>
      <c r="I25" s="127" t="s">
        <v>4</v>
      </c>
    </row>
    <row r="26" spans="2:11" ht="22.5" customHeight="1">
      <c r="B26" s="141" t="s">
        <v>58</v>
      </c>
      <c r="F26" s="142" t="s">
        <v>244</v>
      </c>
      <c r="H26" s="167">
        <f>124.5*((H22^2)/(F14^(1/3)))</f>
        <v>2.8931770138722175E-2</v>
      </c>
    </row>
    <row r="27" spans="2:11" ht="18" customHeight="1">
      <c r="B27" s="141" t="s">
        <v>245</v>
      </c>
      <c r="F27" s="143" t="s">
        <v>246</v>
      </c>
      <c r="H27" s="167">
        <f>H26*F13/F14*(H21^2/(2*9.81))</f>
        <v>3.9365324022117398E-2</v>
      </c>
    </row>
    <row r="28" spans="2:11" ht="19.5" customHeight="1">
      <c r="B28" s="141" t="s">
        <v>59</v>
      </c>
      <c r="F28" s="111" t="s">
        <v>247</v>
      </c>
      <c r="H28" s="167">
        <f>1*(H21^2/(2*9.81))</f>
        <v>0.10204696385677849</v>
      </c>
      <c r="I28" s="127" t="s">
        <v>4</v>
      </c>
    </row>
    <row r="29" spans="2:11" ht="19.5" customHeight="1">
      <c r="B29" s="141" t="s">
        <v>60</v>
      </c>
      <c r="H29" s="167">
        <f>H25+H27+H28</f>
        <v>0.19243576980728511</v>
      </c>
      <c r="I29" s="127" t="s">
        <v>4</v>
      </c>
    </row>
    <row r="31" spans="2:11" ht="15">
      <c r="C31" s="111" t="s">
        <v>61</v>
      </c>
      <c r="J31" s="125">
        <f>1.1*H29</f>
        <v>0.21167934678801364</v>
      </c>
      <c r="K31" s="127" t="s">
        <v>4</v>
      </c>
    </row>
    <row r="33" spans="2:12" ht="15">
      <c r="B33" s="111" t="s">
        <v>62</v>
      </c>
      <c r="F33" s="111" t="s">
        <v>63</v>
      </c>
      <c r="J33" s="172">
        <f>F15+F10-J31</f>
        <v>1800.2883206532119</v>
      </c>
      <c r="K33" s="127" t="s">
        <v>4</v>
      </c>
      <c r="L33" s="125"/>
    </row>
    <row r="34" spans="2:12" ht="15">
      <c r="B34" s="111" t="s">
        <v>64</v>
      </c>
      <c r="J34" s="172">
        <f>J33-F10</f>
        <v>1799.7883206532119</v>
      </c>
      <c r="K34" s="127" t="s">
        <v>4</v>
      </c>
    </row>
  </sheetData>
  <pageMargins left="0.7" right="0.7" top="0.75" bottom="0.75" header="0.3" footer="0.3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8"/>
  <sheetViews>
    <sheetView zoomScale="69" zoomScaleNormal="69" zoomScaleSheetLayoutView="48" workbookViewId="0">
      <selection activeCell="B1" sqref="B1"/>
    </sheetView>
  </sheetViews>
  <sheetFormatPr defaultRowHeight="15"/>
  <cols>
    <col min="1" max="1" width="4.140625" customWidth="1"/>
    <col min="5" max="5" width="9.7109375" customWidth="1"/>
    <col min="6" max="6" width="11.85546875" customWidth="1"/>
    <col min="7" max="7" width="9.42578125" customWidth="1"/>
    <col min="8" max="8" width="8.7109375" customWidth="1"/>
    <col min="9" max="9" width="11.85546875" customWidth="1"/>
    <col min="10" max="10" width="10.5703125" bestFit="1" customWidth="1"/>
    <col min="257" max="257" width="4.140625" customWidth="1"/>
    <col min="261" max="261" width="9.7109375" customWidth="1"/>
    <col min="262" max="262" width="11.85546875" customWidth="1"/>
    <col min="263" max="263" width="9.42578125" customWidth="1"/>
    <col min="264" max="264" width="8.7109375" customWidth="1"/>
    <col min="265" max="265" width="11.85546875" customWidth="1"/>
    <col min="266" max="266" width="10.5703125" bestFit="1" customWidth="1"/>
    <col min="513" max="513" width="4.140625" customWidth="1"/>
    <col min="517" max="517" width="9.7109375" customWidth="1"/>
    <col min="518" max="518" width="11.85546875" customWidth="1"/>
    <col min="519" max="519" width="9.42578125" customWidth="1"/>
    <col min="520" max="520" width="8.7109375" customWidth="1"/>
    <col min="521" max="521" width="11.85546875" customWidth="1"/>
    <col min="522" max="522" width="10.5703125" bestFit="1" customWidth="1"/>
    <col min="769" max="769" width="4.140625" customWidth="1"/>
    <col min="773" max="773" width="9.7109375" customWidth="1"/>
    <col min="774" max="774" width="11.85546875" customWidth="1"/>
    <col min="775" max="775" width="9.42578125" customWidth="1"/>
    <col min="776" max="776" width="8.7109375" customWidth="1"/>
    <col min="777" max="777" width="11.85546875" customWidth="1"/>
    <col min="778" max="778" width="10.5703125" bestFit="1" customWidth="1"/>
    <col min="1025" max="1025" width="4.140625" customWidth="1"/>
    <col min="1029" max="1029" width="9.7109375" customWidth="1"/>
    <col min="1030" max="1030" width="11.85546875" customWidth="1"/>
    <col min="1031" max="1031" width="9.42578125" customWidth="1"/>
    <col min="1032" max="1032" width="8.7109375" customWidth="1"/>
    <col min="1033" max="1033" width="11.85546875" customWidth="1"/>
    <col min="1034" max="1034" width="10.5703125" bestFit="1" customWidth="1"/>
    <col min="1281" max="1281" width="4.140625" customWidth="1"/>
    <col min="1285" max="1285" width="9.7109375" customWidth="1"/>
    <col min="1286" max="1286" width="11.85546875" customWidth="1"/>
    <col min="1287" max="1287" width="9.42578125" customWidth="1"/>
    <col min="1288" max="1288" width="8.7109375" customWidth="1"/>
    <col min="1289" max="1289" width="11.85546875" customWidth="1"/>
    <col min="1290" max="1290" width="10.5703125" bestFit="1" customWidth="1"/>
    <col min="1537" max="1537" width="4.140625" customWidth="1"/>
    <col min="1541" max="1541" width="9.7109375" customWidth="1"/>
    <col min="1542" max="1542" width="11.85546875" customWidth="1"/>
    <col min="1543" max="1543" width="9.42578125" customWidth="1"/>
    <col min="1544" max="1544" width="8.7109375" customWidth="1"/>
    <col min="1545" max="1545" width="11.85546875" customWidth="1"/>
    <col min="1546" max="1546" width="10.5703125" bestFit="1" customWidth="1"/>
    <col min="1793" max="1793" width="4.140625" customWidth="1"/>
    <col min="1797" max="1797" width="9.7109375" customWidth="1"/>
    <col min="1798" max="1798" width="11.85546875" customWidth="1"/>
    <col min="1799" max="1799" width="9.42578125" customWidth="1"/>
    <col min="1800" max="1800" width="8.7109375" customWidth="1"/>
    <col min="1801" max="1801" width="11.85546875" customWidth="1"/>
    <col min="1802" max="1802" width="10.5703125" bestFit="1" customWidth="1"/>
    <col min="2049" max="2049" width="4.140625" customWidth="1"/>
    <col min="2053" max="2053" width="9.7109375" customWidth="1"/>
    <col min="2054" max="2054" width="11.85546875" customWidth="1"/>
    <col min="2055" max="2055" width="9.42578125" customWidth="1"/>
    <col min="2056" max="2056" width="8.7109375" customWidth="1"/>
    <col min="2057" max="2057" width="11.85546875" customWidth="1"/>
    <col min="2058" max="2058" width="10.5703125" bestFit="1" customWidth="1"/>
    <col min="2305" max="2305" width="4.140625" customWidth="1"/>
    <col min="2309" max="2309" width="9.7109375" customWidth="1"/>
    <col min="2310" max="2310" width="11.85546875" customWidth="1"/>
    <col min="2311" max="2311" width="9.42578125" customWidth="1"/>
    <col min="2312" max="2312" width="8.7109375" customWidth="1"/>
    <col min="2313" max="2313" width="11.85546875" customWidth="1"/>
    <col min="2314" max="2314" width="10.5703125" bestFit="1" customWidth="1"/>
    <col min="2561" max="2561" width="4.140625" customWidth="1"/>
    <col min="2565" max="2565" width="9.7109375" customWidth="1"/>
    <col min="2566" max="2566" width="11.85546875" customWidth="1"/>
    <col min="2567" max="2567" width="9.42578125" customWidth="1"/>
    <col min="2568" max="2568" width="8.7109375" customWidth="1"/>
    <col min="2569" max="2569" width="11.85546875" customWidth="1"/>
    <col min="2570" max="2570" width="10.5703125" bestFit="1" customWidth="1"/>
    <col min="2817" max="2817" width="4.140625" customWidth="1"/>
    <col min="2821" max="2821" width="9.7109375" customWidth="1"/>
    <col min="2822" max="2822" width="11.85546875" customWidth="1"/>
    <col min="2823" max="2823" width="9.42578125" customWidth="1"/>
    <col min="2824" max="2824" width="8.7109375" customWidth="1"/>
    <col min="2825" max="2825" width="11.85546875" customWidth="1"/>
    <col min="2826" max="2826" width="10.5703125" bestFit="1" customWidth="1"/>
    <col min="3073" max="3073" width="4.140625" customWidth="1"/>
    <col min="3077" max="3077" width="9.7109375" customWidth="1"/>
    <col min="3078" max="3078" width="11.85546875" customWidth="1"/>
    <col min="3079" max="3079" width="9.42578125" customWidth="1"/>
    <col min="3080" max="3080" width="8.7109375" customWidth="1"/>
    <col min="3081" max="3081" width="11.85546875" customWidth="1"/>
    <col min="3082" max="3082" width="10.5703125" bestFit="1" customWidth="1"/>
    <col min="3329" max="3329" width="4.140625" customWidth="1"/>
    <col min="3333" max="3333" width="9.7109375" customWidth="1"/>
    <col min="3334" max="3334" width="11.85546875" customWidth="1"/>
    <col min="3335" max="3335" width="9.42578125" customWidth="1"/>
    <col min="3336" max="3336" width="8.7109375" customWidth="1"/>
    <col min="3337" max="3337" width="11.85546875" customWidth="1"/>
    <col min="3338" max="3338" width="10.5703125" bestFit="1" customWidth="1"/>
    <col min="3585" max="3585" width="4.140625" customWidth="1"/>
    <col min="3589" max="3589" width="9.7109375" customWidth="1"/>
    <col min="3590" max="3590" width="11.85546875" customWidth="1"/>
    <col min="3591" max="3591" width="9.42578125" customWidth="1"/>
    <col min="3592" max="3592" width="8.7109375" customWidth="1"/>
    <col min="3593" max="3593" width="11.85546875" customWidth="1"/>
    <col min="3594" max="3594" width="10.5703125" bestFit="1" customWidth="1"/>
    <col min="3841" max="3841" width="4.140625" customWidth="1"/>
    <col min="3845" max="3845" width="9.7109375" customWidth="1"/>
    <col min="3846" max="3846" width="11.85546875" customWidth="1"/>
    <col min="3847" max="3847" width="9.42578125" customWidth="1"/>
    <col min="3848" max="3848" width="8.7109375" customWidth="1"/>
    <col min="3849" max="3849" width="11.85546875" customWidth="1"/>
    <col min="3850" max="3850" width="10.5703125" bestFit="1" customWidth="1"/>
    <col min="4097" max="4097" width="4.140625" customWidth="1"/>
    <col min="4101" max="4101" width="9.7109375" customWidth="1"/>
    <col min="4102" max="4102" width="11.85546875" customWidth="1"/>
    <col min="4103" max="4103" width="9.42578125" customWidth="1"/>
    <col min="4104" max="4104" width="8.7109375" customWidth="1"/>
    <col min="4105" max="4105" width="11.85546875" customWidth="1"/>
    <col min="4106" max="4106" width="10.5703125" bestFit="1" customWidth="1"/>
    <col min="4353" max="4353" width="4.140625" customWidth="1"/>
    <col min="4357" max="4357" width="9.7109375" customWidth="1"/>
    <col min="4358" max="4358" width="11.85546875" customWidth="1"/>
    <col min="4359" max="4359" width="9.42578125" customWidth="1"/>
    <col min="4360" max="4360" width="8.7109375" customWidth="1"/>
    <col min="4361" max="4361" width="11.85546875" customWidth="1"/>
    <col min="4362" max="4362" width="10.5703125" bestFit="1" customWidth="1"/>
    <col min="4609" max="4609" width="4.140625" customWidth="1"/>
    <col min="4613" max="4613" width="9.7109375" customWidth="1"/>
    <col min="4614" max="4614" width="11.85546875" customWidth="1"/>
    <col min="4615" max="4615" width="9.42578125" customWidth="1"/>
    <col min="4616" max="4616" width="8.7109375" customWidth="1"/>
    <col min="4617" max="4617" width="11.85546875" customWidth="1"/>
    <col min="4618" max="4618" width="10.5703125" bestFit="1" customWidth="1"/>
    <col min="4865" max="4865" width="4.140625" customWidth="1"/>
    <col min="4869" max="4869" width="9.7109375" customWidth="1"/>
    <col min="4870" max="4870" width="11.85546875" customWidth="1"/>
    <col min="4871" max="4871" width="9.42578125" customWidth="1"/>
    <col min="4872" max="4872" width="8.7109375" customWidth="1"/>
    <col min="4873" max="4873" width="11.85546875" customWidth="1"/>
    <col min="4874" max="4874" width="10.5703125" bestFit="1" customWidth="1"/>
    <col min="5121" max="5121" width="4.140625" customWidth="1"/>
    <col min="5125" max="5125" width="9.7109375" customWidth="1"/>
    <col min="5126" max="5126" width="11.85546875" customWidth="1"/>
    <col min="5127" max="5127" width="9.42578125" customWidth="1"/>
    <col min="5128" max="5128" width="8.7109375" customWidth="1"/>
    <col min="5129" max="5129" width="11.85546875" customWidth="1"/>
    <col min="5130" max="5130" width="10.5703125" bestFit="1" customWidth="1"/>
    <col min="5377" max="5377" width="4.140625" customWidth="1"/>
    <col min="5381" max="5381" width="9.7109375" customWidth="1"/>
    <col min="5382" max="5382" width="11.85546875" customWidth="1"/>
    <col min="5383" max="5383" width="9.42578125" customWidth="1"/>
    <col min="5384" max="5384" width="8.7109375" customWidth="1"/>
    <col min="5385" max="5385" width="11.85546875" customWidth="1"/>
    <col min="5386" max="5386" width="10.5703125" bestFit="1" customWidth="1"/>
    <col min="5633" max="5633" width="4.140625" customWidth="1"/>
    <col min="5637" max="5637" width="9.7109375" customWidth="1"/>
    <col min="5638" max="5638" width="11.85546875" customWidth="1"/>
    <col min="5639" max="5639" width="9.42578125" customWidth="1"/>
    <col min="5640" max="5640" width="8.7109375" customWidth="1"/>
    <col min="5641" max="5641" width="11.85546875" customWidth="1"/>
    <col min="5642" max="5642" width="10.5703125" bestFit="1" customWidth="1"/>
    <col min="5889" max="5889" width="4.140625" customWidth="1"/>
    <col min="5893" max="5893" width="9.7109375" customWidth="1"/>
    <col min="5894" max="5894" width="11.85546875" customWidth="1"/>
    <col min="5895" max="5895" width="9.42578125" customWidth="1"/>
    <col min="5896" max="5896" width="8.7109375" customWidth="1"/>
    <col min="5897" max="5897" width="11.85546875" customWidth="1"/>
    <col min="5898" max="5898" width="10.5703125" bestFit="1" customWidth="1"/>
    <col min="6145" max="6145" width="4.140625" customWidth="1"/>
    <col min="6149" max="6149" width="9.7109375" customWidth="1"/>
    <col min="6150" max="6150" width="11.85546875" customWidth="1"/>
    <col min="6151" max="6151" width="9.42578125" customWidth="1"/>
    <col min="6152" max="6152" width="8.7109375" customWidth="1"/>
    <col min="6153" max="6153" width="11.85546875" customWidth="1"/>
    <col min="6154" max="6154" width="10.5703125" bestFit="1" customWidth="1"/>
    <col min="6401" max="6401" width="4.140625" customWidth="1"/>
    <col min="6405" max="6405" width="9.7109375" customWidth="1"/>
    <col min="6406" max="6406" width="11.85546875" customWidth="1"/>
    <col min="6407" max="6407" width="9.42578125" customWidth="1"/>
    <col min="6408" max="6408" width="8.7109375" customWidth="1"/>
    <col min="6409" max="6409" width="11.85546875" customWidth="1"/>
    <col min="6410" max="6410" width="10.5703125" bestFit="1" customWidth="1"/>
    <col min="6657" max="6657" width="4.140625" customWidth="1"/>
    <col min="6661" max="6661" width="9.7109375" customWidth="1"/>
    <col min="6662" max="6662" width="11.85546875" customWidth="1"/>
    <col min="6663" max="6663" width="9.42578125" customWidth="1"/>
    <col min="6664" max="6664" width="8.7109375" customWidth="1"/>
    <col min="6665" max="6665" width="11.85546875" customWidth="1"/>
    <col min="6666" max="6666" width="10.5703125" bestFit="1" customWidth="1"/>
    <col min="6913" max="6913" width="4.140625" customWidth="1"/>
    <col min="6917" max="6917" width="9.7109375" customWidth="1"/>
    <col min="6918" max="6918" width="11.85546875" customWidth="1"/>
    <col min="6919" max="6919" width="9.42578125" customWidth="1"/>
    <col min="6920" max="6920" width="8.7109375" customWidth="1"/>
    <col min="6921" max="6921" width="11.85546875" customWidth="1"/>
    <col min="6922" max="6922" width="10.5703125" bestFit="1" customWidth="1"/>
    <col min="7169" max="7169" width="4.140625" customWidth="1"/>
    <col min="7173" max="7173" width="9.7109375" customWidth="1"/>
    <col min="7174" max="7174" width="11.85546875" customWidth="1"/>
    <col min="7175" max="7175" width="9.42578125" customWidth="1"/>
    <col min="7176" max="7176" width="8.7109375" customWidth="1"/>
    <col min="7177" max="7177" width="11.85546875" customWidth="1"/>
    <col min="7178" max="7178" width="10.5703125" bestFit="1" customWidth="1"/>
    <col min="7425" max="7425" width="4.140625" customWidth="1"/>
    <col min="7429" max="7429" width="9.7109375" customWidth="1"/>
    <col min="7430" max="7430" width="11.85546875" customWidth="1"/>
    <col min="7431" max="7431" width="9.42578125" customWidth="1"/>
    <col min="7432" max="7432" width="8.7109375" customWidth="1"/>
    <col min="7433" max="7433" width="11.85546875" customWidth="1"/>
    <col min="7434" max="7434" width="10.5703125" bestFit="1" customWidth="1"/>
    <col min="7681" max="7681" width="4.140625" customWidth="1"/>
    <col min="7685" max="7685" width="9.7109375" customWidth="1"/>
    <col min="7686" max="7686" width="11.85546875" customWidth="1"/>
    <col min="7687" max="7687" width="9.42578125" customWidth="1"/>
    <col min="7688" max="7688" width="8.7109375" customWidth="1"/>
    <col min="7689" max="7689" width="11.85546875" customWidth="1"/>
    <col min="7690" max="7690" width="10.5703125" bestFit="1" customWidth="1"/>
    <col min="7937" max="7937" width="4.140625" customWidth="1"/>
    <col min="7941" max="7941" width="9.7109375" customWidth="1"/>
    <col min="7942" max="7942" width="11.85546875" customWidth="1"/>
    <col min="7943" max="7943" width="9.42578125" customWidth="1"/>
    <col min="7944" max="7944" width="8.7109375" customWidth="1"/>
    <col min="7945" max="7945" width="11.85546875" customWidth="1"/>
    <col min="7946" max="7946" width="10.5703125" bestFit="1" customWidth="1"/>
    <col min="8193" max="8193" width="4.140625" customWidth="1"/>
    <col min="8197" max="8197" width="9.7109375" customWidth="1"/>
    <col min="8198" max="8198" width="11.85546875" customWidth="1"/>
    <col min="8199" max="8199" width="9.42578125" customWidth="1"/>
    <col min="8200" max="8200" width="8.7109375" customWidth="1"/>
    <col min="8201" max="8201" width="11.85546875" customWidth="1"/>
    <col min="8202" max="8202" width="10.5703125" bestFit="1" customWidth="1"/>
    <col min="8449" max="8449" width="4.140625" customWidth="1"/>
    <col min="8453" max="8453" width="9.7109375" customWidth="1"/>
    <col min="8454" max="8454" width="11.85546875" customWidth="1"/>
    <col min="8455" max="8455" width="9.42578125" customWidth="1"/>
    <col min="8456" max="8456" width="8.7109375" customWidth="1"/>
    <col min="8457" max="8457" width="11.85546875" customWidth="1"/>
    <col min="8458" max="8458" width="10.5703125" bestFit="1" customWidth="1"/>
    <col min="8705" max="8705" width="4.140625" customWidth="1"/>
    <col min="8709" max="8709" width="9.7109375" customWidth="1"/>
    <col min="8710" max="8710" width="11.85546875" customWidth="1"/>
    <col min="8711" max="8711" width="9.42578125" customWidth="1"/>
    <col min="8712" max="8712" width="8.7109375" customWidth="1"/>
    <col min="8713" max="8713" width="11.85546875" customWidth="1"/>
    <col min="8714" max="8714" width="10.5703125" bestFit="1" customWidth="1"/>
    <col min="8961" max="8961" width="4.140625" customWidth="1"/>
    <col min="8965" max="8965" width="9.7109375" customWidth="1"/>
    <col min="8966" max="8966" width="11.85546875" customWidth="1"/>
    <col min="8967" max="8967" width="9.42578125" customWidth="1"/>
    <col min="8968" max="8968" width="8.7109375" customWidth="1"/>
    <col min="8969" max="8969" width="11.85546875" customWidth="1"/>
    <col min="8970" max="8970" width="10.5703125" bestFit="1" customWidth="1"/>
    <col min="9217" max="9217" width="4.140625" customWidth="1"/>
    <col min="9221" max="9221" width="9.7109375" customWidth="1"/>
    <col min="9222" max="9222" width="11.85546875" customWidth="1"/>
    <col min="9223" max="9223" width="9.42578125" customWidth="1"/>
    <col min="9224" max="9224" width="8.7109375" customWidth="1"/>
    <col min="9225" max="9225" width="11.85546875" customWidth="1"/>
    <col min="9226" max="9226" width="10.5703125" bestFit="1" customWidth="1"/>
    <col min="9473" max="9473" width="4.140625" customWidth="1"/>
    <col min="9477" max="9477" width="9.7109375" customWidth="1"/>
    <col min="9478" max="9478" width="11.85546875" customWidth="1"/>
    <col min="9479" max="9479" width="9.42578125" customWidth="1"/>
    <col min="9480" max="9480" width="8.7109375" customWidth="1"/>
    <col min="9481" max="9481" width="11.85546875" customWidth="1"/>
    <col min="9482" max="9482" width="10.5703125" bestFit="1" customWidth="1"/>
    <col min="9729" max="9729" width="4.140625" customWidth="1"/>
    <col min="9733" max="9733" width="9.7109375" customWidth="1"/>
    <col min="9734" max="9734" width="11.85546875" customWidth="1"/>
    <col min="9735" max="9735" width="9.42578125" customWidth="1"/>
    <col min="9736" max="9736" width="8.7109375" customWidth="1"/>
    <col min="9737" max="9737" width="11.85546875" customWidth="1"/>
    <col min="9738" max="9738" width="10.5703125" bestFit="1" customWidth="1"/>
    <col min="9985" max="9985" width="4.140625" customWidth="1"/>
    <col min="9989" max="9989" width="9.7109375" customWidth="1"/>
    <col min="9990" max="9990" width="11.85546875" customWidth="1"/>
    <col min="9991" max="9991" width="9.42578125" customWidth="1"/>
    <col min="9992" max="9992" width="8.7109375" customWidth="1"/>
    <col min="9993" max="9993" width="11.85546875" customWidth="1"/>
    <col min="9994" max="9994" width="10.5703125" bestFit="1" customWidth="1"/>
    <col min="10241" max="10241" width="4.140625" customWidth="1"/>
    <col min="10245" max="10245" width="9.7109375" customWidth="1"/>
    <col min="10246" max="10246" width="11.85546875" customWidth="1"/>
    <col min="10247" max="10247" width="9.42578125" customWidth="1"/>
    <col min="10248" max="10248" width="8.7109375" customWidth="1"/>
    <col min="10249" max="10249" width="11.85546875" customWidth="1"/>
    <col min="10250" max="10250" width="10.5703125" bestFit="1" customWidth="1"/>
    <col min="10497" max="10497" width="4.140625" customWidth="1"/>
    <col min="10501" max="10501" width="9.7109375" customWidth="1"/>
    <col min="10502" max="10502" width="11.85546875" customWidth="1"/>
    <col min="10503" max="10503" width="9.42578125" customWidth="1"/>
    <col min="10504" max="10504" width="8.7109375" customWidth="1"/>
    <col min="10505" max="10505" width="11.85546875" customWidth="1"/>
    <col min="10506" max="10506" width="10.5703125" bestFit="1" customWidth="1"/>
    <col min="10753" max="10753" width="4.140625" customWidth="1"/>
    <col min="10757" max="10757" width="9.7109375" customWidth="1"/>
    <col min="10758" max="10758" width="11.85546875" customWidth="1"/>
    <col min="10759" max="10759" width="9.42578125" customWidth="1"/>
    <col min="10760" max="10760" width="8.7109375" customWidth="1"/>
    <col min="10761" max="10761" width="11.85546875" customWidth="1"/>
    <col min="10762" max="10762" width="10.5703125" bestFit="1" customWidth="1"/>
    <col min="11009" max="11009" width="4.140625" customWidth="1"/>
    <col min="11013" max="11013" width="9.7109375" customWidth="1"/>
    <col min="11014" max="11014" width="11.85546875" customWidth="1"/>
    <col min="11015" max="11015" width="9.42578125" customWidth="1"/>
    <col min="11016" max="11016" width="8.7109375" customWidth="1"/>
    <col min="11017" max="11017" width="11.85546875" customWidth="1"/>
    <col min="11018" max="11018" width="10.5703125" bestFit="1" customWidth="1"/>
    <col min="11265" max="11265" width="4.140625" customWidth="1"/>
    <col min="11269" max="11269" width="9.7109375" customWidth="1"/>
    <col min="11270" max="11270" width="11.85546875" customWidth="1"/>
    <col min="11271" max="11271" width="9.42578125" customWidth="1"/>
    <col min="11272" max="11272" width="8.7109375" customWidth="1"/>
    <col min="11273" max="11273" width="11.85546875" customWidth="1"/>
    <col min="11274" max="11274" width="10.5703125" bestFit="1" customWidth="1"/>
    <col min="11521" max="11521" width="4.140625" customWidth="1"/>
    <col min="11525" max="11525" width="9.7109375" customWidth="1"/>
    <col min="11526" max="11526" width="11.85546875" customWidth="1"/>
    <col min="11527" max="11527" width="9.42578125" customWidth="1"/>
    <col min="11528" max="11528" width="8.7109375" customWidth="1"/>
    <col min="11529" max="11529" width="11.85546875" customWidth="1"/>
    <col min="11530" max="11530" width="10.5703125" bestFit="1" customWidth="1"/>
    <col min="11777" max="11777" width="4.140625" customWidth="1"/>
    <col min="11781" max="11781" width="9.7109375" customWidth="1"/>
    <col min="11782" max="11782" width="11.85546875" customWidth="1"/>
    <col min="11783" max="11783" width="9.42578125" customWidth="1"/>
    <col min="11784" max="11784" width="8.7109375" customWidth="1"/>
    <col min="11785" max="11785" width="11.85546875" customWidth="1"/>
    <col min="11786" max="11786" width="10.5703125" bestFit="1" customWidth="1"/>
    <col min="12033" max="12033" width="4.140625" customWidth="1"/>
    <col min="12037" max="12037" width="9.7109375" customWidth="1"/>
    <col min="12038" max="12038" width="11.85546875" customWidth="1"/>
    <col min="12039" max="12039" width="9.42578125" customWidth="1"/>
    <col min="12040" max="12040" width="8.7109375" customWidth="1"/>
    <col min="12041" max="12041" width="11.85546875" customWidth="1"/>
    <col min="12042" max="12042" width="10.5703125" bestFit="1" customWidth="1"/>
    <col min="12289" max="12289" width="4.140625" customWidth="1"/>
    <col min="12293" max="12293" width="9.7109375" customWidth="1"/>
    <col min="12294" max="12294" width="11.85546875" customWidth="1"/>
    <col min="12295" max="12295" width="9.42578125" customWidth="1"/>
    <col min="12296" max="12296" width="8.7109375" customWidth="1"/>
    <col min="12297" max="12297" width="11.85546875" customWidth="1"/>
    <col min="12298" max="12298" width="10.5703125" bestFit="1" customWidth="1"/>
    <col min="12545" max="12545" width="4.140625" customWidth="1"/>
    <col min="12549" max="12549" width="9.7109375" customWidth="1"/>
    <col min="12550" max="12550" width="11.85546875" customWidth="1"/>
    <col min="12551" max="12551" width="9.42578125" customWidth="1"/>
    <col min="12552" max="12552" width="8.7109375" customWidth="1"/>
    <col min="12553" max="12553" width="11.85546875" customWidth="1"/>
    <col min="12554" max="12554" width="10.5703125" bestFit="1" customWidth="1"/>
    <col min="12801" max="12801" width="4.140625" customWidth="1"/>
    <col min="12805" max="12805" width="9.7109375" customWidth="1"/>
    <col min="12806" max="12806" width="11.85546875" customWidth="1"/>
    <col min="12807" max="12807" width="9.42578125" customWidth="1"/>
    <col min="12808" max="12808" width="8.7109375" customWidth="1"/>
    <col min="12809" max="12809" width="11.85546875" customWidth="1"/>
    <col min="12810" max="12810" width="10.5703125" bestFit="1" customWidth="1"/>
    <col min="13057" max="13057" width="4.140625" customWidth="1"/>
    <col min="13061" max="13061" width="9.7109375" customWidth="1"/>
    <col min="13062" max="13062" width="11.85546875" customWidth="1"/>
    <col min="13063" max="13063" width="9.42578125" customWidth="1"/>
    <col min="13064" max="13064" width="8.7109375" customWidth="1"/>
    <col min="13065" max="13065" width="11.85546875" customWidth="1"/>
    <col min="13066" max="13066" width="10.5703125" bestFit="1" customWidth="1"/>
    <col min="13313" max="13313" width="4.140625" customWidth="1"/>
    <col min="13317" max="13317" width="9.7109375" customWidth="1"/>
    <col min="13318" max="13318" width="11.85546875" customWidth="1"/>
    <col min="13319" max="13319" width="9.42578125" customWidth="1"/>
    <col min="13320" max="13320" width="8.7109375" customWidth="1"/>
    <col min="13321" max="13321" width="11.85546875" customWidth="1"/>
    <col min="13322" max="13322" width="10.5703125" bestFit="1" customWidth="1"/>
    <col min="13569" max="13569" width="4.140625" customWidth="1"/>
    <col min="13573" max="13573" width="9.7109375" customWidth="1"/>
    <col min="13574" max="13574" width="11.85546875" customWidth="1"/>
    <col min="13575" max="13575" width="9.42578125" customWidth="1"/>
    <col min="13576" max="13576" width="8.7109375" customWidth="1"/>
    <col min="13577" max="13577" width="11.85546875" customWidth="1"/>
    <col min="13578" max="13578" width="10.5703125" bestFit="1" customWidth="1"/>
    <col min="13825" max="13825" width="4.140625" customWidth="1"/>
    <col min="13829" max="13829" width="9.7109375" customWidth="1"/>
    <col min="13830" max="13830" width="11.85546875" customWidth="1"/>
    <col min="13831" max="13831" width="9.42578125" customWidth="1"/>
    <col min="13832" max="13832" width="8.7109375" customWidth="1"/>
    <col min="13833" max="13833" width="11.85546875" customWidth="1"/>
    <col min="13834" max="13834" width="10.5703125" bestFit="1" customWidth="1"/>
    <col min="14081" max="14081" width="4.140625" customWidth="1"/>
    <col min="14085" max="14085" width="9.7109375" customWidth="1"/>
    <col min="14086" max="14086" width="11.85546875" customWidth="1"/>
    <col min="14087" max="14087" width="9.42578125" customWidth="1"/>
    <col min="14088" max="14088" width="8.7109375" customWidth="1"/>
    <col min="14089" max="14089" width="11.85546875" customWidth="1"/>
    <col min="14090" max="14090" width="10.5703125" bestFit="1" customWidth="1"/>
    <col min="14337" max="14337" width="4.140625" customWidth="1"/>
    <col min="14341" max="14341" width="9.7109375" customWidth="1"/>
    <col min="14342" max="14342" width="11.85546875" customWidth="1"/>
    <col min="14343" max="14343" width="9.42578125" customWidth="1"/>
    <col min="14344" max="14344" width="8.7109375" customWidth="1"/>
    <col min="14345" max="14345" width="11.85546875" customWidth="1"/>
    <col min="14346" max="14346" width="10.5703125" bestFit="1" customWidth="1"/>
    <col min="14593" max="14593" width="4.140625" customWidth="1"/>
    <col min="14597" max="14597" width="9.7109375" customWidth="1"/>
    <col min="14598" max="14598" width="11.85546875" customWidth="1"/>
    <col min="14599" max="14599" width="9.42578125" customWidth="1"/>
    <col min="14600" max="14600" width="8.7109375" customWidth="1"/>
    <col min="14601" max="14601" width="11.85546875" customWidth="1"/>
    <col min="14602" max="14602" width="10.5703125" bestFit="1" customWidth="1"/>
    <col min="14849" max="14849" width="4.140625" customWidth="1"/>
    <col min="14853" max="14853" width="9.7109375" customWidth="1"/>
    <col min="14854" max="14854" width="11.85546875" customWidth="1"/>
    <col min="14855" max="14855" width="9.42578125" customWidth="1"/>
    <col min="14856" max="14856" width="8.7109375" customWidth="1"/>
    <col min="14857" max="14857" width="11.85546875" customWidth="1"/>
    <col min="14858" max="14858" width="10.5703125" bestFit="1" customWidth="1"/>
    <col min="15105" max="15105" width="4.140625" customWidth="1"/>
    <col min="15109" max="15109" width="9.7109375" customWidth="1"/>
    <col min="15110" max="15110" width="11.85546875" customWidth="1"/>
    <col min="15111" max="15111" width="9.42578125" customWidth="1"/>
    <col min="15112" max="15112" width="8.7109375" customWidth="1"/>
    <col min="15113" max="15113" width="11.85546875" customWidth="1"/>
    <col min="15114" max="15114" width="10.5703125" bestFit="1" customWidth="1"/>
    <col min="15361" max="15361" width="4.140625" customWidth="1"/>
    <col min="15365" max="15365" width="9.7109375" customWidth="1"/>
    <col min="15366" max="15366" width="11.85546875" customWidth="1"/>
    <col min="15367" max="15367" width="9.42578125" customWidth="1"/>
    <col min="15368" max="15368" width="8.7109375" customWidth="1"/>
    <col min="15369" max="15369" width="11.85546875" customWidth="1"/>
    <col min="15370" max="15370" width="10.5703125" bestFit="1" customWidth="1"/>
    <col min="15617" max="15617" width="4.140625" customWidth="1"/>
    <col min="15621" max="15621" width="9.7109375" customWidth="1"/>
    <col min="15622" max="15622" width="11.85546875" customWidth="1"/>
    <col min="15623" max="15623" width="9.42578125" customWidth="1"/>
    <col min="15624" max="15624" width="8.7109375" customWidth="1"/>
    <col min="15625" max="15625" width="11.85546875" customWidth="1"/>
    <col min="15626" max="15626" width="10.5703125" bestFit="1" customWidth="1"/>
    <col min="15873" max="15873" width="4.140625" customWidth="1"/>
    <col min="15877" max="15877" width="9.7109375" customWidth="1"/>
    <col min="15878" max="15878" width="11.85546875" customWidth="1"/>
    <col min="15879" max="15879" width="9.42578125" customWidth="1"/>
    <col min="15880" max="15880" width="8.7109375" customWidth="1"/>
    <col min="15881" max="15881" width="11.85546875" customWidth="1"/>
    <col min="15882" max="15882" width="10.5703125" bestFit="1" customWidth="1"/>
    <col min="16129" max="16129" width="4.140625" customWidth="1"/>
    <col min="16133" max="16133" width="9.7109375" customWidth="1"/>
    <col min="16134" max="16134" width="11.85546875" customWidth="1"/>
    <col min="16135" max="16135" width="9.42578125" customWidth="1"/>
    <col min="16136" max="16136" width="8.7109375" customWidth="1"/>
    <col min="16137" max="16137" width="11.85546875" customWidth="1"/>
    <col min="16138" max="16138" width="10.5703125" bestFit="1" customWidth="1"/>
  </cols>
  <sheetData>
    <row r="1" spans="2:22">
      <c r="B1" s="1" t="s">
        <v>337</v>
      </c>
    </row>
    <row r="16" spans="2:22" ht="21">
      <c r="B16" s="5"/>
      <c r="V16" t="s">
        <v>334</v>
      </c>
    </row>
    <row r="18" spans="2:11">
      <c r="B18" s="6" t="s">
        <v>83</v>
      </c>
      <c r="C18" s="7"/>
      <c r="D18" s="7"/>
    </row>
    <row r="19" spans="2:11" ht="18">
      <c r="C19" t="s">
        <v>84</v>
      </c>
      <c r="I19" s="160">
        <v>400</v>
      </c>
      <c r="J19" s="6" t="s">
        <v>85</v>
      </c>
    </row>
    <row r="20" spans="2:11">
      <c r="C20" t="s">
        <v>86</v>
      </c>
      <c r="I20" s="160">
        <v>0.5</v>
      </c>
      <c r="J20" s="6" t="s">
        <v>4</v>
      </c>
    </row>
    <row r="21" spans="2:11">
      <c r="C21" t="s">
        <v>87</v>
      </c>
      <c r="I21" s="160">
        <v>1800</v>
      </c>
      <c r="J21" s="6" t="s">
        <v>4</v>
      </c>
    </row>
    <row r="22" spans="2:11">
      <c r="C22" t="s">
        <v>88</v>
      </c>
      <c r="I22" s="160">
        <v>1</v>
      </c>
      <c r="J22" s="6" t="s">
        <v>4</v>
      </c>
    </row>
    <row r="23" spans="2:11">
      <c r="C23" t="s">
        <v>89</v>
      </c>
      <c r="I23" s="160">
        <v>1800.5</v>
      </c>
      <c r="J23" s="6" t="s">
        <v>4</v>
      </c>
    </row>
    <row r="24" spans="2:11">
      <c r="C24" t="s">
        <v>90</v>
      </c>
      <c r="I24" s="173">
        <f>I21+I20</f>
        <v>1800.5</v>
      </c>
      <c r="J24" s="6" t="s">
        <v>4</v>
      </c>
      <c r="K24" s="2"/>
    </row>
    <row r="25" spans="2:11">
      <c r="C25" t="s">
        <v>91</v>
      </c>
      <c r="I25" s="173">
        <f>I24+I26</f>
        <v>1800.9</v>
      </c>
      <c r="J25" s="6" t="s">
        <v>4</v>
      </c>
      <c r="K25" s="2"/>
    </row>
    <row r="26" spans="2:11">
      <c r="C26" t="s">
        <v>92</v>
      </c>
      <c r="I26" s="160">
        <v>0.4</v>
      </c>
      <c r="J26" s="6" t="s">
        <v>4</v>
      </c>
    </row>
    <row r="27" spans="2:11">
      <c r="C27" t="s">
        <v>93</v>
      </c>
      <c r="I27" s="161" t="s">
        <v>94</v>
      </c>
      <c r="J27" s="6"/>
    </row>
    <row r="28" spans="2:11">
      <c r="I28" s="9"/>
      <c r="J28" s="6"/>
    </row>
    <row r="29" spans="2:11" ht="17.25">
      <c r="B29" s="6" t="s">
        <v>95</v>
      </c>
      <c r="C29" s="7"/>
      <c r="I29" s="6"/>
      <c r="J29" s="6"/>
    </row>
    <row r="30" spans="2:11">
      <c r="C30" t="s">
        <v>96</v>
      </c>
      <c r="I30" s="6"/>
      <c r="J30" s="6"/>
    </row>
    <row r="31" spans="2:11">
      <c r="C31" t="s">
        <v>97</v>
      </c>
      <c r="G31" s="7"/>
      <c r="I31" s="160">
        <v>150</v>
      </c>
      <c r="J31" s="6" t="s">
        <v>85</v>
      </c>
    </row>
    <row r="32" spans="2:11">
      <c r="C32" t="s">
        <v>98</v>
      </c>
      <c r="I32" s="160">
        <v>0.3</v>
      </c>
      <c r="J32" s="6" t="s">
        <v>4</v>
      </c>
    </row>
    <row r="33" spans="2:11">
      <c r="C33" t="s">
        <v>99</v>
      </c>
      <c r="I33" s="160">
        <v>1799.4</v>
      </c>
      <c r="J33" s="6" t="s">
        <v>4</v>
      </c>
    </row>
    <row r="34" spans="2:11">
      <c r="C34" t="s">
        <v>88</v>
      </c>
      <c r="I34" s="160">
        <v>0.5</v>
      </c>
      <c r="J34" s="6" t="s">
        <v>4</v>
      </c>
    </row>
    <row r="35" spans="2:11">
      <c r="C35" t="s">
        <v>89</v>
      </c>
      <c r="I35" s="160">
        <v>1800.5</v>
      </c>
      <c r="J35" s="6" t="s">
        <v>4</v>
      </c>
    </row>
    <row r="36" spans="2:11">
      <c r="C36" t="s">
        <v>90</v>
      </c>
      <c r="I36" s="173">
        <f>I33+I32</f>
        <v>1799.7</v>
      </c>
      <c r="J36" s="6" t="s">
        <v>4</v>
      </c>
    </row>
    <row r="37" spans="2:11">
      <c r="C37" t="s">
        <v>91</v>
      </c>
      <c r="I37" s="173">
        <f>I36+I38</f>
        <v>1800</v>
      </c>
      <c r="J37" s="6" t="s">
        <v>4</v>
      </c>
    </row>
    <row r="38" spans="2:11">
      <c r="C38" t="s">
        <v>92</v>
      </c>
      <c r="I38" s="160">
        <v>0.3</v>
      </c>
      <c r="J38" s="6" t="s">
        <v>4</v>
      </c>
    </row>
    <row r="39" spans="2:11">
      <c r="C39" t="s">
        <v>93</v>
      </c>
      <c r="I39" s="161" t="s">
        <v>94</v>
      </c>
      <c r="J39" s="6"/>
    </row>
    <row r="40" spans="2:11">
      <c r="I40" s="8"/>
      <c r="J40" s="6"/>
    </row>
    <row r="41" spans="2:11" ht="17.25">
      <c r="B41" s="6" t="s">
        <v>100</v>
      </c>
      <c r="C41" s="7"/>
      <c r="I41" s="6"/>
      <c r="J41" s="6"/>
    </row>
    <row r="42" spans="2:11" ht="17.25">
      <c r="C42" t="s">
        <v>101</v>
      </c>
      <c r="G42" s="7"/>
      <c r="I42" s="160">
        <v>250</v>
      </c>
      <c r="J42" s="6" t="s">
        <v>85</v>
      </c>
    </row>
    <row r="43" spans="2:11">
      <c r="C43" t="s">
        <v>102</v>
      </c>
      <c r="I43" s="160">
        <v>0.4</v>
      </c>
      <c r="J43" s="6" t="s">
        <v>4</v>
      </c>
    </row>
    <row r="44" spans="2:11">
      <c r="C44" t="s">
        <v>99</v>
      </c>
      <c r="I44" s="160">
        <v>1799.4</v>
      </c>
      <c r="J44" s="6" t="s">
        <v>4</v>
      </c>
    </row>
    <row r="45" spans="2:11">
      <c r="C45" t="s">
        <v>88</v>
      </c>
      <c r="I45" s="160">
        <v>0.7</v>
      </c>
      <c r="J45" s="6" t="s">
        <v>4</v>
      </c>
    </row>
    <row r="46" spans="2:11">
      <c r="C46" t="s">
        <v>89</v>
      </c>
      <c r="I46" s="160">
        <v>1800.5</v>
      </c>
      <c r="J46" s="6" t="s">
        <v>4</v>
      </c>
    </row>
    <row r="47" spans="2:11">
      <c r="C47" t="s">
        <v>90</v>
      </c>
      <c r="I47" s="173">
        <f>I44+I43</f>
        <v>1799.8000000000002</v>
      </c>
      <c r="J47" s="6" t="s">
        <v>4</v>
      </c>
      <c r="K47" s="2"/>
    </row>
    <row r="48" spans="2:11">
      <c r="C48" t="s">
        <v>91</v>
      </c>
      <c r="I48" s="173">
        <f>I47+I49</f>
        <v>1800.1000000000001</v>
      </c>
      <c r="J48" s="6" t="s">
        <v>4</v>
      </c>
    </row>
    <row r="49" spans="2:10">
      <c r="C49" t="s">
        <v>92</v>
      </c>
      <c r="I49" s="160">
        <v>0.3</v>
      </c>
      <c r="J49" s="6" t="s">
        <v>4</v>
      </c>
    </row>
    <row r="50" spans="2:10">
      <c r="C50" t="s">
        <v>93</v>
      </c>
      <c r="I50" s="161" t="s">
        <v>94</v>
      </c>
      <c r="J50" s="6"/>
    </row>
    <row r="51" spans="2:10">
      <c r="B51" t="s">
        <v>103</v>
      </c>
    </row>
    <row r="52" spans="2:10">
      <c r="B52" t="s">
        <v>104</v>
      </c>
    </row>
    <row r="59" spans="2:10" ht="15.75">
      <c r="B59" s="10" t="s">
        <v>105</v>
      </c>
      <c r="C59" s="11"/>
      <c r="D59" s="11"/>
      <c r="E59" s="11"/>
    </row>
    <row r="61" spans="2:10" ht="18.75">
      <c r="B61" s="4" t="s">
        <v>106</v>
      </c>
      <c r="C61" t="s">
        <v>107</v>
      </c>
    </row>
    <row r="62" spans="2:10" ht="17.25">
      <c r="B62" s="4"/>
      <c r="C62" t="s">
        <v>108</v>
      </c>
    </row>
    <row r="63" spans="2:10">
      <c r="B63" s="4" t="s">
        <v>109</v>
      </c>
      <c r="C63" t="s">
        <v>110</v>
      </c>
    </row>
    <row r="64" spans="2:10" ht="18">
      <c r="B64" s="12" t="s">
        <v>111</v>
      </c>
      <c r="C64" t="s">
        <v>112</v>
      </c>
    </row>
    <row r="65" spans="2:12" ht="18">
      <c r="B65" s="12"/>
      <c r="C65" t="s">
        <v>113</v>
      </c>
    </row>
    <row r="66" spans="2:12" ht="18">
      <c r="B66" s="4" t="s">
        <v>114</v>
      </c>
      <c r="C66" t="s">
        <v>115</v>
      </c>
    </row>
    <row r="67" spans="2:12" ht="18">
      <c r="B67" s="4" t="s">
        <v>116</v>
      </c>
      <c r="C67" t="s">
        <v>117</v>
      </c>
    </row>
    <row r="68" spans="2:12">
      <c r="B68" s="4" t="s">
        <v>118</v>
      </c>
      <c r="C68" t="s">
        <v>119</v>
      </c>
    </row>
    <row r="69" spans="2:12">
      <c r="B69" s="4"/>
      <c r="C69" t="s">
        <v>120</v>
      </c>
    </row>
    <row r="70" spans="2:12">
      <c r="B70" s="4" t="s">
        <v>121</v>
      </c>
      <c r="C70" t="s">
        <v>122</v>
      </c>
    </row>
    <row r="71" spans="2:12">
      <c r="B71" s="4"/>
    </row>
    <row r="72" spans="2:12" ht="23.25">
      <c r="B72" s="13" t="s">
        <v>123</v>
      </c>
      <c r="C72" s="14"/>
      <c r="D72" s="14"/>
    </row>
    <row r="73" spans="2:12" ht="15.75">
      <c r="B73" s="15"/>
      <c r="C73" s="13" t="s">
        <v>124</v>
      </c>
      <c r="D73" s="13"/>
      <c r="E73" s="10"/>
    </row>
    <row r="74" spans="2:12" ht="18">
      <c r="B74" s="12"/>
      <c r="C74" t="s">
        <v>125</v>
      </c>
    </row>
    <row r="75" spans="2:12" ht="18">
      <c r="B75" s="16"/>
      <c r="C75" t="s">
        <v>126</v>
      </c>
      <c r="E75" s="3"/>
    </row>
    <row r="76" spans="2:12" ht="18">
      <c r="B76" s="16"/>
      <c r="C76" s="17" t="s">
        <v>127</v>
      </c>
      <c r="D76" s="18" t="s">
        <v>128</v>
      </c>
      <c r="E76" s="19" t="s">
        <v>129</v>
      </c>
      <c r="F76" s="20" t="s">
        <v>130</v>
      </c>
      <c r="G76" t="s">
        <v>131</v>
      </c>
      <c r="I76" t="s">
        <v>132</v>
      </c>
    </row>
    <row r="77" spans="2:12">
      <c r="B77" s="16"/>
      <c r="C77" s="17" t="s">
        <v>133</v>
      </c>
      <c r="D77" s="17" t="s">
        <v>134</v>
      </c>
      <c r="E77" s="3" t="s">
        <v>135</v>
      </c>
      <c r="F77" s="21">
        <f>0.8*I20</f>
        <v>0.4</v>
      </c>
      <c r="G77" s="6" t="s">
        <v>4</v>
      </c>
    </row>
    <row r="78" spans="2:12">
      <c r="B78" s="16"/>
      <c r="C78" s="17"/>
      <c r="D78" s="17"/>
      <c r="E78" s="3"/>
    </row>
    <row r="79" spans="2:12" ht="18.75">
      <c r="B79" s="22"/>
      <c r="C79" s="10" t="s">
        <v>136</v>
      </c>
      <c r="D79" s="10"/>
      <c r="E79" s="10"/>
      <c r="F79" s="23"/>
      <c r="G79" s="23"/>
      <c r="H79" s="23"/>
      <c r="I79" s="23"/>
      <c r="J79" s="23"/>
      <c r="K79" s="23"/>
      <c r="L79" s="23"/>
    </row>
    <row r="80" spans="2:12">
      <c r="B80" s="24"/>
      <c r="C80" s="25" t="s">
        <v>137</v>
      </c>
      <c r="D80" s="26" t="s">
        <v>138</v>
      </c>
      <c r="E80" s="27"/>
      <c r="F80" s="28" t="s">
        <v>139</v>
      </c>
      <c r="G80" s="29" t="s">
        <v>140</v>
      </c>
      <c r="H80" s="30" t="s">
        <v>141</v>
      </c>
      <c r="I80" s="31"/>
      <c r="J80" s="31"/>
      <c r="K80" s="23"/>
      <c r="L80" s="23"/>
    </row>
    <row r="81" spans="2:12">
      <c r="B81" s="32"/>
      <c r="C81" s="33"/>
      <c r="D81" s="33"/>
      <c r="E81" s="34"/>
      <c r="F81" s="35"/>
      <c r="G81" s="36"/>
      <c r="H81" s="35"/>
      <c r="I81" s="31"/>
      <c r="J81" s="31"/>
      <c r="K81" s="23"/>
      <c r="L81" s="23"/>
    </row>
    <row r="82" spans="2:12">
      <c r="B82" s="37" t="s">
        <v>106</v>
      </c>
      <c r="C82" s="38" t="s">
        <v>142</v>
      </c>
      <c r="D82" s="38"/>
      <c r="E82" s="38"/>
      <c r="F82" s="39">
        <f>I31/1000</f>
        <v>0.15</v>
      </c>
      <c r="G82" s="40">
        <f>I42/1000</f>
        <v>0.25</v>
      </c>
      <c r="H82" s="41"/>
      <c r="I82" s="42"/>
      <c r="J82" s="42"/>
      <c r="K82" s="23"/>
      <c r="L82" s="23"/>
    </row>
    <row r="83" spans="2:12">
      <c r="B83" s="37" t="s">
        <v>109</v>
      </c>
      <c r="C83" s="38" t="s">
        <v>143</v>
      </c>
      <c r="D83" s="43"/>
      <c r="E83" s="44"/>
      <c r="F83" s="39">
        <v>1</v>
      </c>
      <c r="G83" s="40">
        <v>0.95</v>
      </c>
      <c r="H83" s="41"/>
      <c r="I83" s="42"/>
      <c r="J83" s="42"/>
      <c r="K83" s="23"/>
      <c r="L83" s="23"/>
    </row>
    <row r="84" spans="2:12">
      <c r="B84" s="37" t="s">
        <v>111</v>
      </c>
      <c r="C84" s="38" t="s">
        <v>144</v>
      </c>
      <c r="D84" s="38"/>
      <c r="E84" s="38"/>
      <c r="F84" s="39">
        <f>F77</f>
        <v>0.4</v>
      </c>
      <c r="G84" s="40">
        <f>F84</f>
        <v>0.4</v>
      </c>
      <c r="H84" s="41"/>
      <c r="I84" s="42"/>
      <c r="J84" s="42"/>
      <c r="K84" s="23"/>
      <c r="L84" s="23"/>
    </row>
    <row r="85" spans="2:12">
      <c r="B85" s="45" t="s">
        <v>114</v>
      </c>
      <c r="C85" s="30" t="s">
        <v>145</v>
      </c>
      <c r="D85" s="30"/>
      <c r="E85" s="30"/>
      <c r="F85" s="46"/>
      <c r="G85" s="47"/>
      <c r="H85" s="48"/>
      <c r="I85" s="42"/>
      <c r="J85" s="42"/>
      <c r="K85" s="23"/>
      <c r="L85" s="23"/>
    </row>
    <row r="86" spans="2:12" ht="18.75">
      <c r="B86" s="49"/>
      <c r="C86" s="36" t="s">
        <v>146</v>
      </c>
      <c r="D86" s="34"/>
      <c r="E86" s="35"/>
      <c r="F86" s="50">
        <f>(F82/(1.71*F83*F84^1.5))+0.2*F84</f>
        <v>0.42674097150969065</v>
      </c>
      <c r="G86" s="50">
        <f>(G82/(1.71*G83*G84^1.5))+0.2*G84</f>
        <v>0.68831749387665031</v>
      </c>
      <c r="H86" s="51"/>
      <c r="I86" s="42"/>
      <c r="J86" s="42"/>
      <c r="K86" s="23"/>
      <c r="L86" s="23"/>
    </row>
    <row r="87" spans="2:12" ht="18">
      <c r="B87" s="52" t="s">
        <v>116</v>
      </c>
      <c r="C87" s="53" t="s">
        <v>147</v>
      </c>
      <c r="D87" s="54"/>
      <c r="E87" s="54"/>
      <c r="F87" s="39">
        <f>I20-F77</f>
        <v>9.9999999999999978E-2</v>
      </c>
      <c r="G87" s="39">
        <f>F87</f>
        <v>9.9999999999999978E-2</v>
      </c>
      <c r="H87" s="55"/>
      <c r="I87" s="23"/>
      <c r="J87" s="23"/>
      <c r="K87" s="23"/>
      <c r="L87" s="23"/>
    </row>
    <row r="88" spans="2:12" ht="18">
      <c r="B88" s="52" t="s">
        <v>118</v>
      </c>
      <c r="C88" s="53" t="s">
        <v>148</v>
      </c>
      <c r="D88" s="54"/>
      <c r="E88" s="54"/>
      <c r="F88" s="39">
        <f>F87/F84</f>
        <v>0.24999999999999994</v>
      </c>
      <c r="G88" s="39">
        <f>G87/G84</f>
        <v>0.24999999999999994</v>
      </c>
      <c r="H88" s="55" t="str">
        <f>IF(G88&gt;0.2&amp;F88&gt;0.2,"Ok!","Not Ok!")</f>
        <v>Ok!</v>
      </c>
      <c r="I88" s="23"/>
      <c r="J88" s="23"/>
      <c r="K88" s="23"/>
      <c r="L88" s="23"/>
    </row>
    <row r="89" spans="2:12" ht="18">
      <c r="B89" s="52" t="s">
        <v>121</v>
      </c>
      <c r="C89" s="56" t="s">
        <v>149</v>
      </c>
      <c r="D89" s="54"/>
      <c r="E89" s="54"/>
      <c r="F89" s="39">
        <f>I24-I36</f>
        <v>0.79999999999995453</v>
      </c>
      <c r="G89" s="39">
        <f>I24-I47</f>
        <v>0.6999999999998181</v>
      </c>
      <c r="H89" s="55"/>
      <c r="I89" s="23"/>
      <c r="J89" s="23"/>
      <c r="K89" s="23"/>
      <c r="L89" s="23"/>
    </row>
    <row r="90" spans="2:12" ht="18">
      <c r="B90" s="57" t="s">
        <v>150</v>
      </c>
      <c r="C90" s="58" t="s">
        <v>151</v>
      </c>
      <c r="D90" s="26"/>
      <c r="E90" s="27"/>
      <c r="F90" s="46">
        <f>2*F84</f>
        <v>0.8</v>
      </c>
      <c r="G90" s="46">
        <f>F90</f>
        <v>0.8</v>
      </c>
      <c r="H90" s="28"/>
      <c r="I90" s="23"/>
      <c r="J90" s="23"/>
      <c r="K90" s="23"/>
      <c r="L90" s="23"/>
    </row>
    <row r="91" spans="2:12" ht="18">
      <c r="B91" s="59"/>
      <c r="C91" s="60" t="s">
        <v>152</v>
      </c>
      <c r="D91" s="33"/>
      <c r="E91" s="34"/>
      <c r="F91" s="61">
        <v>0.95</v>
      </c>
      <c r="G91" s="61">
        <v>0.95</v>
      </c>
      <c r="H91" s="55" t="str">
        <f>IF(G91&gt;G90&amp;F91&gt;F90,"Ok!","Not Ok!")</f>
        <v>Ok!</v>
      </c>
      <c r="I91" s="23"/>
      <c r="J91" s="23"/>
      <c r="K91" s="23"/>
      <c r="L91" s="23"/>
    </row>
    <row r="92" spans="2:12" ht="18">
      <c r="B92" s="52" t="s">
        <v>153</v>
      </c>
      <c r="C92" s="53" t="s">
        <v>154</v>
      </c>
      <c r="D92" s="54"/>
      <c r="E92" s="44"/>
      <c r="F92" s="39">
        <f>I21+F87</f>
        <v>1800.1</v>
      </c>
      <c r="G92" s="39">
        <f>F92</f>
        <v>1800.1</v>
      </c>
      <c r="H92" s="38"/>
      <c r="I92" s="23"/>
      <c r="J92" s="23"/>
      <c r="K92" s="23"/>
      <c r="L92" s="23"/>
    </row>
    <row r="93" spans="2:12">
      <c r="B93" s="62" t="s">
        <v>155</v>
      </c>
      <c r="C93" s="53" t="s">
        <v>156</v>
      </c>
      <c r="D93" s="54"/>
      <c r="E93" s="44"/>
      <c r="F93" s="39">
        <f>F92+F84</f>
        <v>1800.5</v>
      </c>
      <c r="G93" s="39">
        <f>F93</f>
        <v>1800.5</v>
      </c>
      <c r="H93" s="38"/>
      <c r="I93" s="23"/>
      <c r="J93" s="23"/>
      <c r="K93" s="23"/>
      <c r="L93" s="23"/>
    </row>
    <row r="94" spans="2:12">
      <c r="B94" s="62" t="s">
        <v>157</v>
      </c>
      <c r="C94" s="53" t="s">
        <v>158</v>
      </c>
      <c r="D94" s="54"/>
      <c r="E94" s="44"/>
      <c r="F94" s="39">
        <f>F93-F89</f>
        <v>1799.7</v>
      </c>
      <c r="G94" s="39">
        <f>I47</f>
        <v>1799.8000000000002</v>
      </c>
      <c r="H94" s="38"/>
      <c r="I94" s="23"/>
      <c r="J94" s="23"/>
      <c r="K94" s="23"/>
      <c r="L94" s="23"/>
    </row>
    <row r="95" spans="2:12">
      <c r="B95" s="63" t="s">
        <v>159</v>
      </c>
      <c r="C95" s="64" t="s">
        <v>160</v>
      </c>
      <c r="D95" s="54"/>
      <c r="E95" s="54"/>
      <c r="F95" s="39">
        <f>F94-I32</f>
        <v>1799.4</v>
      </c>
      <c r="G95" s="39">
        <f>G94-I43</f>
        <v>1799.4</v>
      </c>
      <c r="H95" s="38"/>
      <c r="I95" s="23"/>
      <c r="J95" s="23"/>
      <c r="K95" s="23"/>
      <c r="L95" s="23"/>
    </row>
    <row r="96" spans="2:12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</row>
    <row r="97" spans="2:12" ht="15.75">
      <c r="B97" s="22"/>
      <c r="C97" s="10" t="s">
        <v>161</v>
      </c>
      <c r="D97" s="10"/>
      <c r="E97" s="10"/>
      <c r="F97" s="23"/>
      <c r="G97" s="23"/>
      <c r="H97" s="23"/>
      <c r="I97" s="23"/>
      <c r="J97" s="23"/>
      <c r="K97" s="23"/>
      <c r="L97" s="23"/>
    </row>
    <row r="98" spans="2:12">
      <c r="B98" s="55" t="s">
        <v>162</v>
      </c>
      <c r="C98" s="54"/>
      <c r="D98" s="54" t="s">
        <v>137</v>
      </c>
      <c r="E98" s="54"/>
      <c r="F98" s="55" t="str">
        <f>F80</f>
        <v>BC1</v>
      </c>
      <c r="G98" s="55" t="str">
        <f>G80</f>
        <v>BC2</v>
      </c>
      <c r="H98" s="55" t="s">
        <v>163</v>
      </c>
      <c r="I98" s="23"/>
      <c r="J98" s="23"/>
      <c r="K98" s="23"/>
      <c r="L98" s="23"/>
    </row>
    <row r="99" spans="2:12">
      <c r="B99" s="55">
        <v>1</v>
      </c>
      <c r="C99" s="64" t="s">
        <v>164</v>
      </c>
      <c r="D99" s="54"/>
      <c r="E99" s="54"/>
      <c r="F99" s="65">
        <f>F87</f>
        <v>9.9999999999999978E-2</v>
      </c>
      <c r="G99" s="65">
        <f>F99</f>
        <v>9.9999999999999978E-2</v>
      </c>
      <c r="H99" s="55" t="s">
        <v>4</v>
      </c>
      <c r="I99" s="23"/>
      <c r="J99" s="23"/>
      <c r="K99" s="23"/>
      <c r="L99" s="23"/>
    </row>
    <row r="100" spans="2:12">
      <c r="B100" s="55">
        <v>2</v>
      </c>
      <c r="C100" s="54" t="s">
        <v>165</v>
      </c>
      <c r="D100" s="54"/>
      <c r="E100" s="54"/>
      <c r="F100" s="65">
        <f>F84</f>
        <v>0.4</v>
      </c>
      <c r="G100" s="65">
        <f>F100</f>
        <v>0.4</v>
      </c>
      <c r="H100" s="55" t="s">
        <v>4</v>
      </c>
      <c r="I100" s="23"/>
      <c r="J100" s="23"/>
      <c r="K100" s="23"/>
      <c r="L100" s="23"/>
    </row>
    <row r="101" spans="2:12">
      <c r="B101" s="55">
        <v>3</v>
      </c>
      <c r="C101" s="64" t="s">
        <v>166</v>
      </c>
      <c r="D101" s="54"/>
      <c r="E101" s="54"/>
      <c r="F101" s="65">
        <f>F91</f>
        <v>0.95</v>
      </c>
      <c r="G101" s="65">
        <f>F101</f>
        <v>0.95</v>
      </c>
      <c r="H101" s="55" t="s">
        <v>4</v>
      </c>
      <c r="I101" s="23"/>
      <c r="J101" s="23"/>
      <c r="K101" s="23"/>
      <c r="L101" s="23"/>
    </row>
    <row r="102" spans="2:12">
      <c r="B102" s="55">
        <v>4</v>
      </c>
      <c r="C102" s="54" t="s">
        <v>167</v>
      </c>
      <c r="D102" s="54"/>
      <c r="E102" s="54"/>
      <c r="F102" s="65">
        <f>F86</f>
        <v>0.42674097150969065</v>
      </c>
      <c r="G102" s="65">
        <f>G86</f>
        <v>0.68831749387665031</v>
      </c>
      <c r="H102" s="55" t="s">
        <v>4</v>
      </c>
      <c r="I102" s="23"/>
      <c r="J102" s="23"/>
      <c r="K102" s="23"/>
      <c r="L102" s="23"/>
    </row>
    <row r="103" spans="2:12">
      <c r="B103" s="66">
        <v>5</v>
      </c>
      <c r="C103" s="64" t="s">
        <v>168</v>
      </c>
      <c r="D103" s="54"/>
      <c r="E103" s="54"/>
      <c r="F103" s="65">
        <f>0.2*F84</f>
        <v>8.0000000000000016E-2</v>
      </c>
      <c r="G103" s="65">
        <f>F103</f>
        <v>8.0000000000000016E-2</v>
      </c>
      <c r="H103" s="55" t="s">
        <v>4</v>
      </c>
      <c r="I103" s="23"/>
      <c r="J103" s="23"/>
      <c r="K103" s="23"/>
      <c r="L103" s="23"/>
    </row>
    <row r="104" spans="2:12">
      <c r="B104" s="67"/>
      <c r="C104" s="68"/>
      <c r="D104" s="31"/>
      <c r="E104" s="31"/>
      <c r="F104" s="69"/>
      <c r="G104" s="69"/>
      <c r="H104" s="70"/>
      <c r="I104" s="23"/>
      <c r="J104" s="23"/>
      <c r="K104" s="23"/>
      <c r="L104" s="23"/>
    </row>
    <row r="105" spans="2:12">
      <c r="B105" s="67"/>
      <c r="C105" s="68"/>
      <c r="D105" s="31"/>
      <c r="E105" s="31"/>
      <c r="F105" s="69"/>
      <c r="G105" s="69"/>
      <c r="H105" s="70"/>
      <c r="I105" s="23"/>
      <c r="J105" s="23"/>
      <c r="K105" s="23"/>
      <c r="L105" s="23"/>
    </row>
    <row r="106" spans="2:12">
      <c r="B106" s="67"/>
      <c r="C106" s="68"/>
      <c r="D106" s="31"/>
      <c r="E106" s="31"/>
      <c r="F106" s="69"/>
      <c r="G106" s="69"/>
      <c r="H106" s="70"/>
      <c r="I106" s="23"/>
      <c r="J106" s="23"/>
      <c r="K106" s="23"/>
      <c r="L106" s="23"/>
    </row>
    <row r="107" spans="2:12">
      <c r="B107" s="67"/>
      <c r="C107" s="68"/>
      <c r="D107" s="31"/>
      <c r="E107" s="31"/>
      <c r="F107" s="69"/>
      <c r="G107" s="69"/>
      <c r="H107" s="70"/>
      <c r="I107" s="23"/>
      <c r="J107" s="23"/>
      <c r="K107" s="23"/>
      <c r="L107" s="23"/>
    </row>
    <row r="108" spans="2:12">
      <c r="B108" s="67"/>
      <c r="C108" s="68"/>
      <c r="D108" s="31"/>
      <c r="E108" s="31"/>
      <c r="F108" s="69"/>
      <c r="G108" s="69"/>
      <c r="H108" s="70"/>
      <c r="I108" s="23"/>
      <c r="J108" s="23"/>
      <c r="K108" s="23"/>
      <c r="L108" s="23"/>
    </row>
    <row r="109" spans="2:12">
      <c r="B109" s="67"/>
      <c r="C109" s="68"/>
      <c r="D109" s="31"/>
      <c r="E109" s="31"/>
      <c r="F109" s="69"/>
      <c r="G109" s="69"/>
      <c r="H109" s="70"/>
      <c r="I109" s="23"/>
      <c r="J109" s="23"/>
      <c r="K109" s="23"/>
      <c r="L109" s="23"/>
    </row>
    <row r="110" spans="2:12">
      <c r="B110" s="67"/>
      <c r="C110" s="68"/>
      <c r="D110" s="31"/>
      <c r="E110" s="31"/>
      <c r="F110" s="69"/>
      <c r="G110" s="69"/>
      <c r="H110" s="70"/>
      <c r="I110" s="23"/>
      <c r="J110" s="23"/>
      <c r="K110" s="23"/>
      <c r="L110" s="23"/>
    </row>
    <row r="111" spans="2:12">
      <c r="B111" s="67"/>
      <c r="C111" s="68"/>
      <c r="D111" s="31"/>
      <c r="E111" s="31"/>
      <c r="F111" s="69"/>
      <c r="G111" s="69"/>
      <c r="H111" s="70"/>
      <c r="I111" s="23"/>
      <c r="J111" s="23"/>
      <c r="K111" s="23"/>
      <c r="L111" s="23"/>
    </row>
    <row r="112" spans="2:12" ht="18.75">
      <c r="B112" s="71" t="s">
        <v>169</v>
      </c>
      <c r="C112" s="71"/>
      <c r="D112" s="71"/>
      <c r="E112" s="71"/>
      <c r="F112" s="71"/>
      <c r="G112" s="71"/>
      <c r="H112" s="72"/>
      <c r="I112" s="72"/>
      <c r="J112" s="72"/>
      <c r="K112" s="23"/>
      <c r="L112" s="23"/>
    </row>
    <row r="113" spans="1:12">
      <c r="B113" s="43"/>
      <c r="C113" s="54"/>
      <c r="D113" s="74" t="s">
        <v>170</v>
      </c>
      <c r="E113" s="54"/>
      <c r="F113" s="44"/>
      <c r="G113" s="55" t="str">
        <f>F80</f>
        <v>BC1</v>
      </c>
      <c r="H113" s="55" t="str">
        <f>G80</f>
        <v>BC2</v>
      </c>
      <c r="I113" s="55" t="s">
        <v>163</v>
      </c>
      <c r="J113" s="23"/>
      <c r="K113" s="23"/>
      <c r="L113" s="23"/>
    </row>
    <row r="114" spans="1:12" ht="18.75">
      <c r="A114" s="4"/>
      <c r="B114" s="75" t="s">
        <v>171</v>
      </c>
      <c r="C114" s="26"/>
      <c r="D114" s="26"/>
      <c r="E114" s="26"/>
      <c r="F114" s="26"/>
      <c r="G114" s="76"/>
      <c r="H114" s="26"/>
      <c r="I114" s="27"/>
      <c r="J114" s="23"/>
      <c r="K114" s="23"/>
      <c r="L114" s="23"/>
    </row>
    <row r="115" spans="1:12">
      <c r="A115" s="4"/>
      <c r="B115" s="36"/>
      <c r="C115" s="33"/>
      <c r="D115" s="33"/>
      <c r="E115" s="33"/>
      <c r="F115" s="33"/>
      <c r="G115" s="77"/>
      <c r="H115" s="33"/>
      <c r="I115" s="34"/>
      <c r="J115" s="23"/>
      <c r="K115" s="23"/>
      <c r="L115" s="23"/>
    </row>
    <row r="116" spans="1:12">
      <c r="B116" s="78"/>
      <c r="C116" s="31"/>
      <c r="D116" s="31"/>
      <c r="E116" s="31"/>
      <c r="F116" s="31"/>
      <c r="G116" s="79"/>
      <c r="H116" s="79"/>
      <c r="I116" s="80"/>
      <c r="J116" s="23"/>
      <c r="K116" s="23"/>
      <c r="L116" s="23"/>
    </row>
    <row r="117" spans="1:12" ht="18">
      <c r="B117" s="78" t="s">
        <v>172</v>
      </c>
      <c r="C117" s="31" t="s">
        <v>173</v>
      </c>
      <c r="D117" s="31"/>
      <c r="E117" s="31"/>
      <c r="F117" s="31"/>
      <c r="G117" s="79">
        <f>F89</f>
        <v>0.79999999999995453</v>
      </c>
      <c r="H117" s="79">
        <f>G89</f>
        <v>0.6999999999998181</v>
      </c>
      <c r="I117" s="80" t="s">
        <v>4</v>
      </c>
      <c r="J117" s="23"/>
      <c r="K117" s="23"/>
      <c r="L117" s="23"/>
    </row>
    <row r="118" spans="1:12" ht="17.25">
      <c r="B118" s="78"/>
      <c r="C118" s="31" t="s">
        <v>174</v>
      </c>
      <c r="D118" s="31"/>
      <c r="E118" s="31"/>
      <c r="F118" s="31"/>
      <c r="G118" s="79">
        <f>(F82/F86)^2</f>
        <v>0.12355315360737408</v>
      </c>
      <c r="H118" s="79">
        <f>(G82/G86)^2</f>
        <v>0.13191749699545885</v>
      </c>
      <c r="I118" s="80"/>
      <c r="J118" s="23"/>
      <c r="K118" s="23"/>
      <c r="L118" s="23"/>
    </row>
    <row r="119" spans="1:12" ht="18.75">
      <c r="B119" s="78" t="s">
        <v>175</v>
      </c>
      <c r="C119" s="31"/>
      <c r="D119" s="31"/>
      <c r="E119" s="31"/>
      <c r="F119" s="31"/>
      <c r="G119" s="79">
        <f>(8*G118*G117)/9.81</f>
        <v>8.0605523250473918E-2</v>
      </c>
      <c r="H119" s="79">
        <f>(8*H118*H117)/9.81</f>
        <v>7.5304585440813199E-2</v>
      </c>
      <c r="I119" s="80"/>
      <c r="J119" s="23"/>
      <c r="K119" s="23"/>
      <c r="L119" s="23"/>
    </row>
    <row r="120" spans="1:12" ht="18">
      <c r="B120" s="78" t="s">
        <v>176</v>
      </c>
      <c r="C120" s="31"/>
      <c r="D120" s="31"/>
      <c r="E120" s="31"/>
      <c r="F120" s="31"/>
      <c r="G120" s="79">
        <v>6.9426783628603259E-2</v>
      </c>
      <c r="H120" s="79">
        <v>7.2980907862891783E-2</v>
      </c>
      <c r="I120" s="80" t="s">
        <v>4</v>
      </c>
      <c r="J120" s="23"/>
      <c r="K120" s="23"/>
      <c r="L120" s="23"/>
    </row>
    <row r="121" spans="1:12" ht="18.75">
      <c r="B121" s="78" t="s">
        <v>177</v>
      </c>
      <c r="C121" s="31"/>
      <c r="D121" s="31"/>
      <c r="E121" s="31"/>
      <c r="F121" s="31"/>
      <c r="G121" s="79">
        <f>((-1.5*G120+((G120^2/4)+((2*G118)/(9.81*G120)))^0.5)^3)*(0.5*G120+((G120^2/4)+((2*G118)/(9.81*G120)))^0.5)</f>
        <v>7.9375860039985646E-2</v>
      </c>
      <c r="H121" s="79">
        <f>((-1.5*H120+((H120^2/4)+((2*H118)/(9.81*H120)))^0.5)^3)*(0.5*H120+((H120^2/4)+((2*H118)/(9.81*H120)))^0.5)</f>
        <v>7.9942516837258601E-2</v>
      </c>
      <c r="I121" s="80"/>
      <c r="J121" s="23"/>
      <c r="K121" s="23"/>
      <c r="L121" s="23"/>
    </row>
    <row r="122" spans="1:12" ht="18">
      <c r="B122" s="78" t="s">
        <v>178</v>
      </c>
      <c r="C122" s="31"/>
      <c r="D122" s="31"/>
      <c r="E122" s="31"/>
      <c r="F122" s="31"/>
      <c r="G122" s="79">
        <f>G120</f>
        <v>6.9426783628603259E-2</v>
      </c>
      <c r="H122" s="79">
        <f>H120</f>
        <v>7.2980907862891783E-2</v>
      </c>
      <c r="I122" s="80" t="s">
        <v>4</v>
      </c>
      <c r="J122" s="23"/>
      <c r="K122" s="23"/>
      <c r="L122" s="23"/>
    </row>
    <row r="123" spans="1:12" ht="18.75">
      <c r="B123" s="78" t="s">
        <v>179</v>
      </c>
      <c r="C123" s="31" t="s">
        <v>180</v>
      </c>
      <c r="D123" s="31"/>
      <c r="E123" s="31"/>
      <c r="F123" s="81"/>
      <c r="G123" s="79">
        <f>(-0.5*G122)+((G122^2/4)+((2*G118)/(9.81*G122)))^0.5</f>
        <v>0.56862908498217901</v>
      </c>
      <c r="H123" s="79">
        <f>(-0.5*H122)+((H122^2/4)+((2*H118)/(9.81*H122)))^0.5</f>
        <v>0.57165892736604007</v>
      </c>
      <c r="I123" s="80" t="s">
        <v>4</v>
      </c>
      <c r="J123" s="23"/>
      <c r="K123" s="23"/>
      <c r="L123" s="23"/>
    </row>
    <row r="124" spans="1:12" ht="18.75">
      <c r="B124" s="78" t="s">
        <v>181</v>
      </c>
      <c r="C124" s="31"/>
      <c r="D124" s="31"/>
      <c r="E124" s="31"/>
      <c r="F124" s="82"/>
      <c r="G124" s="79">
        <f>G123+(G118/(2*9.81*G123^2))</f>
        <v>0.58810494714916151</v>
      </c>
      <c r="H124" s="79">
        <f>H123+(H118/(2*9.81*H123^2))</f>
        <v>0.59223343349522894</v>
      </c>
      <c r="I124" s="80" t="s">
        <v>4</v>
      </c>
      <c r="J124" s="23"/>
      <c r="K124" s="23"/>
      <c r="L124" s="23"/>
    </row>
    <row r="125" spans="1:12" ht="18">
      <c r="B125" s="36" t="s">
        <v>182</v>
      </c>
      <c r="C125" s="83"/>
      <c r="D125" s="33"/>
      <c r="E125" s="33"/>
      <c r="F125" s="33"/>
      <c r="G125" s="61">
        <f>G117+G124</f>
        <v>1.388104947149116</v>
      </c>
      <c r="H125" s="61">
        <f>H117+H124</f>
        <v>1.2922334334950469</v>
      </c>
      <c r="I125" s="35" t="s">
        <v>4</v>
      </c>
      <c r="J125" s="23"/>
      <c r="K125" s="23"/>
      <c r="L125" s="23"/>
    </row>
    <row r="126" spans="1:12">
      <c r="B126" s="23"/>
      <c r="C126" s="23"/>
      <c r="D126" s="23"/>
      <c r="E126" s="23"/>
      <c r="F126" s="23"/>
      <c r="G126" s="73"/>
      <c r="H126" s="23"/>
      <c r="I126" s="23"/>
      <c r="J126" s="23"/>
      <c r="K126" s="23"/>
      <c r="L126" s="23"/>
    </row>
    <row r="127" spans="1:12" ht="18.75">
      <c r="B127" s="71" t="s">
        <v>183</v>
      </c>
      <c r="C127" s="84"/>
      <c r="D127" s="84"/>
      <c r="E127" s="84"/>
      <c r="F127" s="84"/>
      <c r="G127" s="84"/>
      <c r="H127" s="85"/>
      <c r="I127" s="85"/>
      <c r="J127" s="85"/>
      <c r="K127" s="85"/>
      <c r="L127" s="23"/>
    </row>
    <row r="128" spans="1:12">
      <c r="B128" s="75"/>
      <c r="C128" s="26"/>
      <c r="D128" s="86" t="s">
        <v>170</v>
      </c>
      <c r="E128" s="26"/>
      <c r="F128" s="27"/>
      <c r="G128" s="28" t="s">
        <v>184</v>
      </c>
      <c r="H128" s="55" t="s">
        <v>185</v>
      </c>
      <c r="I128" s="28" t="s">
        <v>163</v>
      </c>
      <c r="J128" s="23"/>
      <c r="K128" s="23"/>
      <c r="L128" s="23"/>
    </row>
    <row r="129" spans="2:12" ht="18.75">
      <c r="B129" s="43" t="s">
        <v>186</v>
      </c>
      <c r="C129" s="54" t="s">
        <v>187</v>
      </c>
      <c r="D129" s="87"/>
      <c r="E129" s="54"/>
      <c r="F129" s="44"/>
      <c r="G129" s="88">
        <f>((F82/F86)^2/9.81)^(1/3)</f>
        <v>0.2326635101119354</v>
      </c>
      <c r="H129" s="88">
        <f>((G82/G86)^2/9.81)^(1/3)</f>
        <v>0.23779960652324764</v>
      </c>
      <c r="I129" s="38" t="s">
        <v>4</v>
      </c>
      <c r="J129" s="23"/>
      <c r="K129" s="23"/>
      <c r="L129" s="23"/>
    </row>
    <row r="130" spans="2:12" ht="18">
      <c r="B130" s="43"/>
      <c r="C130" s="54" t="s">
        <v>188</v>
      </c>
      <c r="D130" s="87"/>
      <c r="E130" s="54"/>
      <c r="F130" s="44"/>
      <c r="G130" s="88">
        <f>F89/G129</f>
        <v>3.4384420643145597</v>
      </c>
      <c r="H130" s="88">
        <f>G89/H129</f>
        <v>2.9436549968865702</v>
      </c>
      <c r="I130" s="38"/>
      <c r="J130" s="23"/>
      <c r="K130" s="23"/>
      <c r="L130" s="23"/>
    </row>
    <row r="131" spans="2:12" ht="18.75">
      <c r="B131" s="43"/>
      <c r="C131" s="54" t="s">
        <v>189</v>
      </c>
      <c r="D131" s="87"/>
      <c r="E131" s="54"/>
      <c r="F131" s="44"/>
      <c r="G131" s="88"/>
      <c r="H131" s="88"/>
      <c r="I131" s="38" t="s">
        <v>4</v>
      </c>
      <c r="J131" s="23"/>
      <c r="K131" s="23"/>
      <c r="L131" s="23"/>
    </row>
    <row r="132" spans="2:12" ht="18.75">
      <c r="B132" s="43"/>
      <c r="C132" s="54" t="s">
        <v>190</v>
      </c>
      <c r="D132" s="87"/>
      <c r="E132" s="54"/>
      <c r="F132" s="44"/>
      <c r="G132" s="88">
        <f>IF(G130&lt;1,(1+(0.93556)*G130^0.368),(1+(0.93556)*G130^0.264))</f>
        <v>2.2961973730541367</v>
      </c>
      <c r="H132" s="88">
        <f>IF(H130&lt;1,(1+(0.93556)*H130^0.368),(1+(0.93556)*H130^0.264))</f>
        <v>2.2441071585706593</v>
      </c>
      <c r="I132" s="38"/>
      <c r="J132" s="23"/>
      <c r="K132" s="23"/>
      <c r="L132" s="23"/>
    </row>
    <row r="133" spans="2:12" ht="18">
      <c r="B133" s="43"/>
      <c r="C133" s="54" t="s">
        <v>191</v>
      </c>
      <c r="D133" s="87"/>
      <c r="E133" s="54"/>
      <c r="F133" s="44"/>
      <c r="G133" s="88">
        <f>G132*G129</f>
        <v>0.53424134072458063</v>
      </c>
      <c r="H133" s="88">
        <f>H132*H129</f>
        <v>0.53364779930410611</v>
      </c>
      <c r="I133" s="38" t="s">
        <v>4</v>
      </c>
      <c r="J133" s="23"/>
      <c r="K133" s="23"/>
      <c r="L133" s="23"/>
    </row>
    <row r="134" spans="2:12" ht="18.75">
      <c r="B134" s="43"/>
      <c r="C134" s="54" t="s">
        <v>192</v>
      </c>
      <c r="D134" s="87"/>
      <c r="E134" s="54"/>
      <c r="F134" s="44"/>
      <c r="G134" s="88">
        <f>(-G133/2)+((G133^2/4)+(2*(F82/F86)^2/(9.81*G133)))^0.5</f>
        <v>7.7121945524872781E-2</v>
      </c>
      <c r="H134" s="88">
        <f>(-H133/2)+((H133^2/4)+(2*(G82/G86)^2/(9.81*H133)))^0.5</f>
        <v>8.1877198192774558E-2</v>
      </c>
      <c r="I134" s="38" t="s">
        <v>4</v>
      </c>
      <c r="J134" s="23"/>
      <c r="K134" s="23"/>
      <c r="L134" s="23"/>
    </row>
    <row r="135" spans="2:12" ht="18.75">
      <c r="B135" s="43"/>
      <c r="C135" s="54" t="s">
        <v>181</v>
      </c>
      <c r="D135" s="54"/>
      <c r="E135" s="54"/>
      <c r="F135" s="44"/>
      <c r="G135" s="88">
        <f>G133+((F82/F86)^2/(2*9.81*G133^2))</f>
        <v>0.55630511717909914</v>
      </c>
      <c r="H135" s="88">
        <f>H133+((G82/G86)^2/(2*9.81*H133^2))</f>
        <v>0.55725768876602233</v>
      </c>
      <c r="I135" s="38" t="s">
        <v>4</v>
      </c>
      <c r="J135" s="23"/>
      <c r="K135" s="23"/>
      <c r="L135" s="23"/>
    </row>
    <row r="136" spans="2:12" ht="18">
      <c r="B136" s="43"/>
      <c r="C136" s="54" t="s">
        <v>182</v>
      </c>
      <c r="D136" s="87"/>
      <c r="E136" s="54"/>
      <c r="F136" s="44"/>
      <c r="G136" s="88">
        <f>F89+G135</f>
        <v>1.3563051171790537</v>
      </c>
      <c r="H136" s="88">
        <f>G89+H135</f>
        <v>1.2572576887658404</v>
      </c>
      <c r="I136" s="38" t="s">
        <v>4</v>
      </c>
      <c r="J136" s="23"/>
      <c r="K136" s="23"/>
      <c r="L136" s="23"/>
    </row>
    <row r="137" spans="2:12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</row>
    <row r="138" spans="2:12" ht="15.75">
      <c r="B138" s="22"/>
      <c r="C138" s="10" t="s">
        <v>193</v>
      </c>
      <c r="D138" s="10"/>
      <c r="E138" s="10"/>
      <c r="F138" s="10"/>
      <c r="G138" s="23"/>
      <c r="H138" s="23"/>
      <c r="I138" s="23"/>
      <c r="J138" s="23"/>
      <c r="K138" s="23"/>
      <c r="L138" s="23"/>
    </row>
    <row r="139" spans="2:12">
      <c r="B139" s="55" t="s">
        <v>194</v>
      </c>
      <c r="C139" s="89"/>
      <c r="D139" s="89"/>
      <c r="E139" s="89" t="s">
        <v>195</v>
      </c>
      <c r="F139" s="89"/>
      <c r="G139" s="89"/>
      <c r="H139" s="90"/>
      <c r="I139" s="55" t="str">
        <f>F98</f>
        <v>BC1</v>
      </c>
      <c r="J139" s="55" t="str">
        <f>G98</f>
        <v>BC2</v>
      </c>
      <c r="K139" s="55" t="s">
        <v>196</v>
      </c>
      <c r="L139" s="23"/>
    </row>
    <row r="140" spans="2:12">
      <c r="B140" s="55">
        <v>1</v>
      </c>
      <c r="C140" s="54" t="s">
        <v>197</v>
      </c>
      <c r="D140" s="54"/>
      <c r="E140" s="54"/>
      <c r="F140" s="54"/>
      <c r="G140" s="54"/>
      <c r="H140" s="44"/>
      <c r="I140" s="65">
        <f>F82/F102</f>
        <v>0.35150128535664571</v>
      </c>
      <c r="J140" s="65">
        <f>G82/G102</f>
        <v>0.36320448372157915</v>
      </c>
      <c r="K140" s="38" t="s">
        <v>198</v>
      </c>
      <c r="L140" s="23"/>
    </row>
    <row r="141" spans="2:12">
      <c r="B141" s="55">
        <v>2</v>
      </c>
      <c r="C141" s="54" t="s">
        <v>199</v>
      </c>
      <c r="D141" s="54"/>
      <c r="E141" s="54"/>
      <c r="F141" s="54"/>
      <c r="G141" s="54"/>
      <c r="H141" s="44"/>
      <c r="I141" s="65">
        <f>F93</f>
        <v>1800.5</v>
      </c>
      <c r="J141" s="65">
        <f>G93</f>
        <v>1800.5</v>
      </c>
      <c r="K141" s="91" t="s">
        <v>4</v>
      </c>
      <c r="L141" s="23"/>
    </row>
    <row r="142" spans="2:12">
      <c r="B142" s="55">
        <v>3</v>
      </c>
      <c r="C142" s="54" t="s">
        <v>200</v>
      </c>
      <c r="D142" s="54"/>
      <c r="E142" s="54"/>
      <c r="F142" s="54"/>
      <c r="G142" s="54"/>
      <c r="H142" s="44"/>
      <c r="I142" s="65">
        <f>F94</f>
        <v>1799.7</v>
      </c>
      <c r="J142" s="65">
        <f>G94</f>
        <v>1799.8000000000002</v>
      </c>
      <c r="K142" s="91" t="s">
        <v>4</v>
      </c>
      <c r="L142" s="23"/>
    </row>
    <row r="143" spans="2:12" ht="18">
      <c r="B143" s="55">
        <v>4</v>
      </c>
      <c r="C143" s="54" t="s">
        <v>201</v>
      </c>
      <c r="D143" s="54"/>
      <c r="E143" s="54"/>
      <c r="F143" s="54"/>
      <c r="G143" s="54"/>
      <c r="H143" s="44"/>
      <c r="I143" s="65">
        <f>F89</f>
        <v>0.79999999999995453</v>
      </c>
      <c r="J143" s="65">
        <f>G89</f>
        <v>0.6999999999998181</v>
      </c>
      <c r="K143" s="91" t="s">
        <v>4</v>
      </c>
      <c r="L143" s="23"/>
    </row>
    <row r="144" spans="2:12" ht="18">
      <c r="B144" s="55">
        <v>5</v>
      </c>
      <c r="C144" s="54" t="s">
        <v>202</v>
      </c>
      <c r="D144" s="54"/>
      <c r="E144" s="54"/>
      <c r="F144" s="54"/>
      <c r="G144" s="54"/>
      <c r="H144" s="44"/>
      <c r="I144" s="65">
        <f>G135</f>
        <v>0.55630511717909914</v>
      </c>
      <c r="J144" s="65">
        <f>H135</f>
        <v>0.55725768876602233</v>
      </c>
      <c r="K144" s="91" t="s">
        <v>4</v>
      </c>
      <c r="L144" s="23"/>
    </row>
    <row r="145" spans="2:12" ht="18">
      <c r="B145" s="55">
        <v>6</v>
      </c>
      <c r="C145" s="54" t="s">
        <v>203</v>
      </c>
      <c r="D145" s="54"/>
      <c r="E145" s="54"/>
      <c r="F145" s="54"/>
      <c r="G145" s="54"/>
      <c r="H145" s="44"/>
      <c r="I145" s="65">
        <f>I142-I144</f>
        <v>1799.1436948828209</v>
      </c>
      <c r="J145" s="65">
        <f>J142-J144</f>
        <v>1799.2427423112342</v>
      </c>
      <c r="K145" s="91" t="s">
        <v>4</v>
      </c>
      <c r="L145" s="23"/>
    </row>
    <row r="146" spans="2:12">
      <c r="B146" s="55">
        <v>7</v>
      </c>
      <c r="C146" s="54" t="s">
        <v>204</v>
      </c>
      <c r="D146" s="54"/>
      <c r="E146" s="54"/>
      <c r="F146" s="54"/>
      <c r="G146" s="54"/>
      <c r="H146" s="44"/>
      <c r="I146" s="65">
        <f>I33</f>
        <v>1799.4</v>
      </c>
      <c r="J146" s="65">
        <f>I44</f>
        <v>1799.4</v>
      </c>
      <c r="K146" s="91" t="s">
        <v>4</v>
      </c>
      <c r="L146" s="23"/>
    </row>
    <row r="147" spans="2:12" ht="18">
      <c r="B147" s="55">
        <v>8</v>
      </c>
      <c r="C147" s="54" t="s">
        <v>205</v>
      </c>
      <c r="D147" s="54"/>
      <c r="E147" s="54"/>
      <c r="F147" s="54"/>
      <c r="G147" s="54"/>
      <c r="H147" s="44"/>
      <c r="I147" s="65">
        <f>G136</f>
        <v>1.3563051171790537</v>
      </c>
      <c r="J147" s="65">
        <f>H136</f>
        <v>1.2572576887658404</v>
      </c>
      <c r="K147" s="91" t="s">
        <v>4</v>
      </c>
      <c r="L147" s="23"/>
    </row>
    <row r="148" spans="2:12" ht="18">
      <c r="B148" s="55">
        <v>9</v>
      </c>
      <c r="C148" s="54" t="s">
        <v>206</v>
      </c>
      <c r="D148" s="54"/>
      <c r="E148" s="54"/>
      <c r="F148" s="54"/>
      <c r="G148" s="54"/>
      <c r="H148" s="44"/>
      <c r="I148" s="65">
        <f>G134</f>
        <v>7.7121945524872781E-2</v>
      </c>
      <c r="J148" s="65">
        <f>H134</f>
        <v>8.1877198192774558E-2</v>
      </c>
      <c r="K148" s="91" t="s">
        <v>4</v>
      </c>
      <c r="L148" s="23"/>
    </row>
    <row r="149" spans="2:12" ht="18">
      <c r="B149" s="55">
        <v>10</v>
      </c>
      <c r="C149" s="54" t="s">
        <v>207</v>
      </c>
      <c r="D149" s="54"/>
      <c r="E149" s="54"/>
      <c r="F149" s="54"/>
      <c r="G149" s="54"/>
      <c r="H149" s="44"/>
      <c r="I149" s="65">
        <f>G133</f>
        <v>0.53424134072458063</v>
      </c>
      <c r="J149" s="65">
        <f>H133</f>
        <v>0.53364779930410611</v>
      </c>
      <c r="K149" s="91" t="s">
        <v>4</v>
      </c>
      <c r="L149" s="23"/>
    </row>
    <row r="150" spans="2:12" ht="18">
      <c r="B150" s="55">
        <v>11</v>
      </c>
      <c r="C150" s="54" t="s">
        <v>208</v>
      </c>
      <c r="D150" s="54"/>
      <c r="E150" s="54"/>
      <c r="F150" s="54"/>
      <c r="G150" s="54"/>
      <c r="H150" s="44"/>
      <c r="I150" s="65">
        <f>5*(I149-I148)</f>
        <v>2.2855969759985393</v>
      </c>
      <c r="J150" s="65">
        <f>5*(J149-J148)</f>
        <v>2.2588530055566576</v>
      </c>
      <c r="K150" s="91" t="s">
        <v>4</v>
      </c>
      <c r="L150" s="23"/>
    </row>
    <row r="151" spans="2:12">
      <c r="B151" s="55">
        <v>12</v>
      </c>
      <c r="C151" s="54" t="s">
        <v>209</v>
      </c>
      <c r="D151" s="54"/>
      <c r="E151" s="54"/>
      <c r="F151" s="54"/>
      <c r="G151" s="54"/>
      <c r="H151" s="44"/>
      <c r="I151" s="65">
        <v>2.2999999999999998</v>
      </c>
      <c r="J151" s="65">
        <v>2.2999999999999998</v>
      </c>
      <c r="K151" s="91" t="s">
        <v>4</v>
      </c>
      <c r="L151" s="23"/>
    </row>
    <row r="152" spans="2:12" ht="18.75">
      <c r="B152" s="55">
        <v>13</v>
      </c>
      <c r="C152" s="54" t="s">
        <v>210</v>
      </c>
      <c r="D152" s="54"/>
      <c r="E152" s="54"/>
      <c r="F152" s="54"/>
      <c r="G152" s="54"/>
      <c r="H152" s="44"/>
      <c r="I152" s="65">
        <f>I140/(9.81*I148^3)^0.5</f>
        <v>5.2399295567988249</v>
      </c>
      <c r="J152" s="65">
        <f>J140/(9.81*J148^3)^0.5</f>
        <v>4.9496243349690578</v>
      </c>
      <c r="K152" s="91"/>
      <c r="L152" s="23"/>
    </row>
    <row r="153" spans="2:12" ht="18.75">
      <c r="B153" s="55">
        <v>14</v>
      </c>
      <c r="C153" s="54" t="s">
        <v>211</v>
      </c>
      <c r="D153" s="54"/>
      <c r="E153" s="54"/>
      <c r="F153" s="54"/>
      <c r="G153" s="54"/>
      <c r="H153" s="44"/>
      <c r="I153" s="65">
        <f>I152^2</f>
        <v>27.456861760213929</v>
      </c>
      <c r="J153" s="65">
        <f>J152^2</f>
        <v>24.498781057317888</v>
      </c>
      <c r="K153" s="91"/>
      <c r="L153" s="23"/>
    </row>
    <row r="154" spans="2:12" ht="17.25">
      <c r="B154" s="66">
        <v>15</v>
      </c>
      <c r="C154" s="54" t="s">
        <v>212</v>
      </c>
      <c r="D154" s="54"/>
      <c r="E154" s="54"/>
      <c r="F154" s="54"/>
      <c r="G154" s="54"/>
      <c r="H154" s="54"/>
      <c r="I154" s="65">
        <f>1.35*(I140^2/1)^(1/3)</f>
        <v>0.67238556322697995</v>
      </c>
      <c r="J154" s="65">
        <f>1.35*(J140^2/1)^(1/3)</f>
        <v>0.68722861737262919</v>
      </c>
      <c r="K154" s="92" t="s">
        <v>4</v>
      </c>
      <c r="L154" s="23"/>
    </row>
    <row r="155" spans="2:12">
      <c r="B155" s="66">
        <v>16</v>
      </c>
      <c r="C155" s="54" t="s">
        <v>213</v>
      </c>
      <c r="D155" s="54"/>
      <c r="E155" s="54"/>
      <c r="F155" s="54"/>
      <c r="G155" s="54"/>
      <c r="H155" s="54"/>
      <c r="I155" s="65">
        <f>I142-1.5*I154</f>
        <v>1798.6914216551595</v>
      </c>
      <c r="J155" s="65">
        <f>J142-1.5*J154</f>
        <v>1798.7691570739412</v>
      </c>
      <c r="K155" s="92" t="s">
        <v>4</v>
      </c>
      <c r="L155" s="23"/>
    </row>
    <row r="156" spans="2:12">
      <c r="B156" s="66">
        <v>17</v>
      </c>
      <c r="C156" s="54" t="s">
        <v>214</v>
      </c>
      <c r="D156" s="54"/>
      <c r="E156" s="54"/>
      <c r="F156" s="54"/>
      <c r="G156" s="54"/>
      <c r="H156" s="54"/>
      <c r="I156" s="65">
        <f>I141-1.25*I154</f>
        <v>1799.6595180459663</v>
      </c>
      <c r="J156" s="65">
        <f>J141-1.25*J154</f>
        <v>1799.6409642282842</v>
      </c>
      <c r="K156" s="92" t="s">
        <v>4</v>
      </c>
      <c r="L156" s="23"/>
    </row>
    <row r="157" spans="2:12">
      <c r="B157" s="23"/>
      <c r="C157" s="23"/>
      <c r="D157" s="23"/>
      <c r="E157" s="23"/>
      <c r="F157" s="23"/>
      <c r="G157" s="23"/>
      <c r="H157" s="73"/>
      <c r="I157" s="23"/>
      <c r="J157" s="6"/>
      <c r="K157" s="6"/>
      <c r="L157" s="23"/>
    </row>
    <row r="158" spans="2:12">
      <c r="B158" s="23"/>
      <c r="C158" s="23"/>
      <c r="D158" s="23"/>
      <c r="E158" s="23"/>
      <c r="F158" s="23"/>
      <c r="G158" s="23"/>
      <c r="H158" s="73"/>
      <c r="I158" s="23"/>
      <c r="J158" s="6"/>
      <c r="K158" s="6"/>
      <c r="L158" s="23"/>
    </row>
    <row r="159" spans="2:12">
      <c r="B159" s="23"/>
      <c r="C159" s="23"/>
      <c r="D159" s="23"/>
      <c r="E159" s="23"/>
      <c r="F159" s="23"/>
      <c r="G159" s="23"/>
      <c r="H159" s="73"/>
      <c r="I159" s="23"/>
      <c r="J159" s="6"/>
      <c r="K159" s="6"/>
      <c r="L159" s="23"/>
    </row>
    <row r="160" spans="2:12">
      <c r="B160" s="23"/>
      <c r="C160" s="23"/>
      <c r="D160" s="23"/>
      <c r="E160" s="23"/>
      <c r="F160" s="23"/>
      <c r="G160" s="23"/>
      <c r="H160" s="73"/>
      <c r="I160" s="23"/>
      <c r="J160" s="6"/>
      <c r="K160" s="6"/>
      <c r="L160" s="23"/>
    </row>
    <row r="161" spans="1:12">
      <c r="B161" s="23"/>
      <c r="C161" s="23"/>
      <c r="D161" s="23"/>
      <c r="E161" s="23"/>
      <c r="F161" s="23"/>
      <c r="G161" s="23"/>
      <c r="H161" s="73"/>
      <c r="I161" s="23"/>
      <c r="J161" s="6"/>
      <c r="K161" s="6"/>
      <c r="L161" s="23"/>
    </row>
    <row r="162" spans="1:12">
      <c r="B162" s="23"/>
      <c r="C162" s="23"/>
      <c r="D162" s="23"/>
      <c r="E162" s="23"/>
      <c r="F162" s="23"/>
      <c r="G162" s="23"/>
      <c r="H162" s="73"/>
      <c r="I162" s="23"/>
      <c r="J162" s="6"/>
      <c r="K162" s="6"/>
      <c r="L162" s="23"/>
    </row>
    <row r="163" spans="1:12">
      <c r="B163" s="23"/>
      <c r="C163" s="23"/>
      <c r="D163" s="23"/>
      <c r="E163" s="23"/>
      <c r="F163" s="23"/>
      <c r="G163" s="23"/>
      <c r="H163" s="73"/>
      <c r="I163" s="23"/>
      <c r="J163" s="6"/>
      <c r="K163" s="6"/>
      <c r="L163" s="23"/>
    </row>
    <row r="164" spans="1:12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1:12">
      <c r="A165" s="93"/>
      <c r="B165" s="94" t="s">
        <v>215</v>
      </c>
      <c r="C165" s="93"/>
      <c r="D165" s="93"/>
      <c r="E165" s="93"/>
      <c r="F165" s="93"/>
      <c r="G165" s="93"/>
      <c r="H165" s="93"/>
      <c r="I165" s="19"/>
      <c r="J165" s="19"/>
      <c r="K165" s="19"/>
      <c r="L165" s="19"/>
    </row>
    <row r="166" spans="1:12">
      <c r="A166" s="3"/>
      <c r="B166" s="95"/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1:12">
      <c r="A167" s="96"/>
      <c r="B167" s="95" t="s">
        <v>139</v>
      </c>
      <c r="C167" s="97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1:12">
      <c r="A168" s="98"/>
      <c r="B168" s="95" t="s">
        <v>216</v>
      </c>
      <c r="C168" s="19"/>
      <c r="D168" s="19"/>
      <c r="E168" s="19">
        <f>1/5</f>
        <v>0.2</v>
      </c>
      <c r="F168" s="95" t="s">
        <v>217</v>
      </c>
      <c r="G168" s="19"/>
      <c r="H168" s="19"/>
      <c r="I168" s="19"/>
      <c r="J168" s="19"/>
      <c r="K168" s="19"/>
      <c r="L168" s="19"/>
    </row>
    <row r="169" spans="1:12">
      <c r="A169" s="98"/>
      <c r="B169" s="95" t="s">
        <v>218</v>
      </c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1:12">
      <c r="A170" s="3"/>
      <c r="B170" s="19" t="s">
        <v>219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1:12">
      <c r="A171" s="3"/>
      <c r="B171" s="19"/>
      <c r="C171" s="19" t="s">
        <v>220</v>
      </c>
      <c r="D171" s="99">
        <f>F92-I146</f>
        <v>0.6999999999998181</v>
      </c>
      <c r="E171" s="19" t="s">
        <v>4</v>
      </c>
      <c r="F171" s="19"/>
      <c r="G171" s="19"/>
      <c r="H171" s="19"/>
      <c r="I171" s="19"/>
      <c r="J171" s="19"/>
      <c r="K171" s="19"/>
      <c r="L171" s="19"/>
    </row>
    <row r="172" spans="1:12">
      <c r="A172" s="3"/>
      <c r="B172" s="19" t="s">
        <v>221</v>
      </c>
      <c r="C172" s="19"/>
      <c r="D172" s="19"/>
      <c r="E172" s="99">
        <f>I146-I155</f>
        <v>0.70857834484058912</v>
      </c>
      <c r="F172" s="19" t="s">
        <v>4</v>
      </c>
      <c r="G172" s="19"/>
      <c r="H172" s="19"/>
      <c r="I172" s="19"/>
      <c r="J172" s="19"/>
      <c r="K172" s="19"/>
      <c r="L172" s="19"/>
    </row>
    <row r="173" spans="1:12">
      <c r="A173" s="3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1:12">
      <c r="A174" s="3"/>
      <c r="B174" s="19"/>
      <c r="C174" s="19"/>
      <c r="D174" s="19"/>
      <c r="E174" s="99">
        <f>E168*E172/D171</f>
        <v>0.20245095566879237</v>
      </c>
      <c r="F174" s="100" t="s">
        <v>222</v>
      </c>
      <c r="G174" s="19"/>
      <c r="H174" s="101">
        <f>1/(3.141*E174)^2</f>
        <v>2.4730019841942359</v>
      </c>
      <c r="I174" s="101"/>
      <c r="J174" s="19"/>
      <c r="K174" s="19"/>
      <c r="L174" s="19"/>
    </row>
    <row r="175" spans="1:12">
      <c r="A175" s="3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1:12">
      <c r="A176" s="3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1:12">
      <c r="A177" s="3"/>
      <c r="B177" s="19"/>
      <c r="C177" s="19"/>
      <c r="D177" s="19"/>
      <c r="E177" s="19" t="s">
        <v>223</v>
      </c>
      <c r="F177" s="101">
        <f>((2*H174-1)^2-1)^0.5</f>
        <v>3.8171910246328475</v>
      </c>
      <c r="G177" s="19"/>
      <c r="H177" s="19"/>
      <c r="I177" s="19"/>
      <c r="J177" s="19"/>
      <c r="K177" s="19"/>
      <c r="L177" s="19"/>
    </row>
    <row r="178" spans="1:12">
      <c r="A178" s="3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1:12">
      <c r="A179" s="3"/>
      <c r="B179" s="19" t="s">
        <v>224</v>
      </c>
      <c r="C179" s="19"/>
      <c r="D179" s="19"/>
      <c r="E179" s="19"/>
      <c r="F179" s="102">
        <f>F177*E172</f>
        <v>2.7047788981746956</v>
      </c>
      <c r="G179" s="95" t="s">
        <v>4</v>
      </c>
      <c r="H179" s="19"/>
      <c r="I179" s="19"/>
      <c r="J179" s="19"/>
      <c r="K179" s="19"/>
      <c r="L179" s="19"/>
    </row>
    <row r="180" spans="1:12">
      <c r="A180" s="3"/>
      <c r="B180" s="19" t="s">
        <v>225</v>
      </c>
      <c r="C180" s="19"/>
      <c r="D180" s="19"/>
      <c r="E180" s="19"/>
      <c r="F180" s="103">
        <f>F179-I151</f>
        <v>0.40477889817469581</v>
      </c>
      <c r="G180" s="8" t="s">
        <v>4</v>
      </c>
      <c r="H180" s="19"/>
      <c r="I180" s="19"/>
      <c r="J180" s="19"/>
      <c r="K180" s="19"/>
      <c r="L180" s="19"/>
    </row>
    <row r="181" spans="1:12">
      <c r="A181" s="3"/>
      <c r="B181" s="104" t="s">
        <v>226</v>
      </c>
      <c r="C181" s="31"/>
      <c r="D181" s="31"/>
      <c r="E181" s="42"/>
      <c r="F181" s="42"/>
      <c r="G181" s="105">
        <f>(D171/F179)*I151</f>
        <v>0.59524273909637515</v>
      </c>
      <c r="H181" s="42" t="s">
        <v>4</v>
      </c>
      <c r="I181" s="42"/>
      <c r="J181" s="42"/>
      <c r="K181" s="42"/>
      <c r="L181" s="42"/>
    </row>
    <row r="182" spans="1:12">
      <c r="A182" s="3"/>
      <c r="B182" s="104" t="s">
        <v>227</v>
      </c>
      <c r="C182" s="31"/>
      <c r="D182" s="31"/>
      <c r="E182" s="42"/>
      <c r="F182" s="42"/>
      <c r="G182" s="106">
        <f>G181/1.24</f>
        <v>0.48003446701320579</v>
      </c>
      <c r="H182" s="107" t="s">
        <v>4</v>
      </c>
      <c r="I182" s="42"/>
      <c r="J182" s="42"/>
      <c r="K182" s="42"/>
      <c r="L182" s="42"/>
    </row>
    <row r="183" spans="1:12">
      <c r="A183" s="96"/>
      <c r="B183" s="95" t="s">
        <v>140</v>
      </c>
      <c r="C183" s="8"/>
      <c r="D183" s="23"/>
      <c r="E183" s="23"/>
      <c r="F183" s="23"/>
      <c r="G183" s="23"/>
      <c r="H183" s="23"/>
      <c r="I183" s="23"/>
      <c r="J183" s="23"/>
      <c r="K183" s="23"/>
      <c r="L183" s="23"/>
    </row>
    <row r="184" spans="1:12">
      <c r="A184" s="98"/>
      <c r="B184" s="95" t="s">
        <v>216</v>
      </c>
      <c r="C184" s="19"/>
      <c r="D184" s="19"/>
      <c r="E184" s="19">
        <f>1/5</f>
        <v>0.2</v>
      </c>
      <c r="F184" s="95" t="s">
        <v>217</v>
      </c>
      <c r="G184" s="19"/>
      <c r="H184" s="19"/>
      <c r="I184" s="19"/>
      <c r="J184" s="23"/>
      <c r="K184" s="23"/>
      <c r="L184" s="23"/>
    </row>
    <row r="185" spans="1:12">
      <c r="A185" s="98"/>
      <c r="B185" s="95" t="s">
        <v>218</v>
      </c>
      <c r="C185" s="19"/>
      <c r="D185" s="19"/>
      <c r="E185" s="19"/>
      <c r="F185" s="19"/>
      <c r="G185" s="19"/>
      <c r="H185" s="19"/>
      <c r="I185" s="19"/>
      <c r="J185" s="23"/>
      <c r="K185" s="23"/>
      <c r="L185" s="23"/>
    </row>
    <row r="186" spans="1:12">
      <c r="A186" s="3"/>
      <c r="B186" s="19" t="s">
        <v>219</v>
      </c>
      <c r="C186" s="19"/>
      <c r="D186" s="19"/>
      <c r="E186" s="19"/>
      <c r="F186" s="19"/>
      <c r="G186" s="19"/>
      <c r="H186" s="19"/>
      <c r="I186" s="19"/>
      <c r="J186" s="23"/>
      <c r="K186" s="23"/>
      <c r="L186" s="23"/>
    </row>
    <row r="187" spans="1:12">
      <c r="A187" s="3"/>
      <c r="B187" s="19"/>
      <c r="C187" s="19" t="s">
        <v>220</v>
      </c>
      <c r="D187" s="99">
        <f>G92-J146</f>
        <v>0.6999999999998181</v>
      </c>
      <c r="E187" s="19" t="s">
        <v>4</v>
      </c>
      <c r="F187" s="19"/>
      <c r="G187" s="19"/>
      <c r="H187" s="19"/>
      <c r="I187" s="19"/>
      <c r="J187" s="23"/>
      <c r="K187" s="23"/>
      <c r="L187" s="23"/>
    </row>
    <row r="188" spans="1:12">
      <c r="A188" s="3"/>
      <c r="B188" s="19" t="s">
        <v>221</v>
      </c>
      <c r="C188" s="19"/>
      <c r="D188" s="19"/>
      <c r="E188" s="99">
        <v>0.7</v>
      </c>
      <c r="F188" s="19" t="s">
        <v>4</v>
      </c>
      <c r="G188" s="19"/>
      <c r="H188" s="19"/>
      <c r="I188" s="19"/>
      <c r="J188" s="23"/>
      <c r="K188" s="23"/>
      <c r="L188" s="23"/>
    </row>
    <row r="189" spans="1:12">
      <c r="A189" s="3"/>
      <c r="B189" s="19"/>
      <c r="C189" s="19"/>
      <c r="D189" s="19"/>
      <c r="E189" s="19"/>
      <c r="F189" s="19"/>
      <c r="G189" s="19"/>
      <c r="H189" s="19"/>
      <c r="I189" s="19"/>
      <c r="J189" s="23"/>
      <c r="K189" s="23"/>
      <c r="L189" s="23"/>
    </row>
    <row r="190" spans="1:12">
      <c r="A190" s="3"/>
      <c r="B190" s="19"/>
      <c r="C190" s="19"/>
      <c r="D190" s="19"/>
      <c r="E190" s="99">
        <f>E184*E188/D187</f>
        <v>0.20000000000005194</v>
      </c>
      <c r="F190" s="100" t="s">
        <v>222</v>
      </c>
      <c r="G190" s="19"/>
      <c r="H190" s="101">
        <f>1/(3.141*E190)^2</f>
        <v>2.5339855609435196</v>
      </c>
      <c r="I190" s="101"/>
      <c r="J190" s="23"/>
      <c r="K190" s="23"/>
      <c r="L190" s="23"/>
    </row>
    <row r="191" spans="1:12">
      <c r="A191" s="3"/>
      <c r="B191" s="19"/>
      <c r="C191" s="19"/>
      <c r="D191" s="19"/>
      <c r="E191" s="19"/>
      <c r="F191" s="19"/>
      <c r="G191" s="19"/>
      <c r="H191" s="19"/>
      <c r="I191" s="19"/>
      <c r="J191" s="23"/>
      <c r="K191" s="23"/>
      <c r="L191" s="23"/>
    </row>
    <row r="192" spans="1:12">
      <c r="A192" s="3"/>
      <c r="B192" s="19"/>
      <c r="C192" s="19"/>
      <c r="D192" s="19"/>
      <c r="E192" s="19"/>
      <c r="F192" s="19"/>
      <c r="G192" s="19"/>
      <c r="H192" s="19"/>
      <c r="I192" s="19"/>
      <c r="J192" s="23"/>
      <c r="K192" s="23"/>
      <c r="L192" s="23"/>
    </row>
    <row r="193" spans="1:12">
      <c r="A193" s="3"/>
      <c r="B193" s="19"/>
      <c r="C193" s="19"/>
      <c r="D193" s="19"/>
      <c r="E193" s="19" t="s">
        <v>223</v>
      </c>
      <c r="F193" s="101">
        <f>((2*H190-1)^2-1)^0.5</f>
        <v>3.9431445634806361</v>
      </c>
      <c r="G193" s="19"/>
      <c r="H193" s="19"/>
      <c r="I193" s="19"/>
      <c r="J193" s="23"/>
      <c r="K193" s="23"/>
      <c r="L193" s="23"/>
    </row>
    <row r="194" spans="1:12">
      <c r="A194" s="3"/>
      <c r="B194" s="19"/>
      <c r="C194" s="19"/>
      <c r="D194" s="19"/>
      <c r="E194" s="19"/>
      <c r="F194" s="19"/>
      <c r="G194" s="19"/>
      <c r="H194" s="19"/>
      <c r="I194" s="19"/>
      <c r="J194" s="23"/>
      <c r="K194" s="23"/>
      <c r="L194" s="23"/>
    </row>
    <row r="195" spans="1:12">
      <c r="A195" s="3"/>
      <c r="B195" s="19" t="s">
        <v>224</v>
      </c>
      <c r="C195" s="19"/>
      <c r="D195" s="19"/>
      <c r="E195" s="19"/>
      <c r="F195" s="102">
        <f>F193*E188</f>
        <v>2.7602011944364451</v>
      </c>
      <c r="G195" s="95" t="s">
        <v>4</v>
      </c>
      <c r="H195" s="19"/>
      <c r="I195" s="19"/>
      <c r="J195" s="23"/>
      <c r="K195" s="23"/>
      <c r="L195" s="23"/>
    </row>
    <row r="196" spans="1:12">
      <c r="A196" s="3"/>
      <c r="B196" s="19" t="s">
        <v>225</v>
      </c>
      <c r="C196" s="19"/>
      <c r="D196" s="19"/>
      <c r="E196" s="19"/>
      <c r="F196" s="103">
        <f>F195-J151</f>
        <v>0.46020119443644525</v>
      </c>
      <c r="G196" s="8" t="s">
        <v>4</v>
      </c>
      <c r="H196" s="19"/>
      <c r="I196" s="19"/>
      <c r="J196" s="23"/>
      <c r="K196" s="23"/>
      <c r="L196" s="23"/>
    </row>
    <row r="197" spans="1:12">
      <c r="A197" s="3"/>
      <c r="B197" s="104" t="s">
        <v>226</v>
      </c>
      <c r="C197" s="31"/>
      <c r="D197" s="31"/>
      <c r="E197" s="42"/>
      <c r="F197" s="42"/>
      <c r="G197" s="105">
        <f>(D187/F195)*J151</f>
        <v>0.58329081345401634</v>
      </c>
      <c r="H197" s="42" t="s">
        <v>4</v>
      </c>
      <c r="I197" s="42"/>
      <c r="J197" s="23"/>
      <c r="K197" s="23"/>
      <c r="L197" s="23"/>
    </row>
    <row r="198" spans="1:12">
      <c r="A198" s="3"/>
      <c r="B198" s="104" t="s">
        <v>227</v>
      </c>
      <c r="C198" s="31"/>
      <c r="D198" s="31"/>
      <c r="E198" s="42"/>
      <c r="F198" s="42"/>
      <c r="G198" s="106">
        <f>G197/1.24</f>
        <v>0.47039581730162611</v>
      </c>
      <c r="H198" s="107" t="s">
        <v>4</v>
      </c>
      <c r="I198" s="42"/>
      <c r="J198" s="23"/>
      <c r="K198" s="23"/>
      <c r="L198" s="23"/>
    </row>
  </sheetData>
  <pageMargins left="0.7" right="0.7" top="0.75" bottom="0.75" header="0.3" footer="0.3"/>
  <pageSetup scale="80"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295275</xdr:colOff>
                <xdr:row>169</xdr:row>
                <xdr:rowOff>180975</xdr:rowOff>
              </from>
              <to>
                <xdr:col>2</xdr:col>
                <xdr:colOff>66675</xdr:colOff>
                <xdr:row>171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1</xdr:col>
                <xdr:colOff>152400</xdr:colOff>
                <xdr:row>172</xdr:row>
                <xdr:rowOff>19050</xdr:rowOff>
              </from>
              <to>
                <xdr:col>2</xdr:col>
                <xdr:colOff>323850</xdr:colOff>
                <xdr:row>175</xdr:row>
                <xdr:rowOff>19050</xdr:rowOff>
              </to>
            </anchor>
          </objectPr>
        </oleObject>
      </mc:Choice>
      <mc:Fallback>
        <oleObject progId="Equation.3" shapeId="4098" r:id="rId6"/>
      </mc:Fallback>
    </mc:AlternateContent>
    <mc:AlternateContent xmlns:mc="http://schemas.openxmlformats.org/markup-compatibility/2006">
      <mc:Choice Requires="x14">
        <oleObject progId="Equation.3" shapeId="4099" r:id="rId8">
          <objectPr defaultSize="0" autoPict="0" r:id="rId9">
            <anchor moveWithCells="1" sizeWithCells="1">
              <from>
                <xdr:col>2</xdr:col>
                <xdr:colOff>561975</xdr:colOff>
                <xdr:row>172</xdr:row>
                <xdr:rowOff>76200</xdr:rowOff>
              </from>
              <to>
                <xdr:col>4</xdr:col>
                <xdr:colOff>47625</xdr:colOff>
                <xdr:row>174</xdr:row>
                <xdr:rowOff>133350</xdr:rowOff>
              </to>
            </anchor>
          </objectPr>
        </oleObject>
      </mc:Choice>
      <mc:Fallback>
        <oleObject progId="Equation.3" shapeId="4099" r:id="rId8"/>
      </mc:Fallback>
    </mc:AlternateContent>
    <mc:AlternateContent xmlns:mc="http://schemas.openxmlformats.org/markup-compatibility/2006">
      <mc:Choice Requires="x14">
        <oleObject progId="Equation.3" shapeId="4100" r:id="rId10">
          <objectPr defaultSize="0" autoPict="0" r:id="rId11">
            <anchor moveWithCells="1" sizeWithCells="1">
              <from>
                <xdr:col>4</xdr:col>
                <xdr:colOff>104775</xdr:colOff>
                <xdr:row>177</xdr:row>
                <xdr:rowOff>161925</xdr:rowOff>
              </from>
              <to>
                <xdr:col>4</xdr:col>
                <xdr:colOff>800100</xdr:colOff>
                <xdr:row>179</xdr:row>
                <xdr:rowOff>0</xdr:rowOff>
              </to>
            </anchor>
          </objectPr>
        </oleObject>
      </mc:Choice>
      <mc:Fallback>
        <oleObject progId="Equation.3" shapeId="4100" r:id="rId10"/>
      </mc:Fallback>
    </mc:AlternateContent>
    <mc:AlternateContent xmlns:mc="http://schemas.openxmlformats.org/markup-compatibility/2006">
      <mc:Choice Requires="x14">
        <oleObject progId="Equation.3" shapeId="4101" r:id="rId12">
          <objectPr defaultSize="0" autoPict="0" r:id="rId13">
            <anchor moveWithCells="1" sizeWithCells="1">
              <from>
                <xdr:col>6</xdr:col>
                <xdr:colOff>19050</xdr:colOff>
                <xdr:row>172</xdr:row>
                <xdr:rowOff>142875</xdr:rowOff>
              </from>
              <to>
                <xdr:col>6</xdr:col>
                <xdr:colOff>447675</xdr:colOff>
                <xdr:row>174</xdr:row>
                <xdr:rowOff>85725</xdr:rowOff>
              </to>
            </anchor>
          </objectPr>
        </oleObject>
      </mc:Choice>
      <mc:Fallback>
        <oleObject progId="Equation.3" shapeId="4101" r:id="rId12"/>
      </mc:Fallback>
    </mc:AlternateContent>
    <mc:AlternateContent xmlns:mc="http://schemas.openxmlformats.org/markup-compatibility/2006">
      <mc:Choice Requires="x14">
        <oleObject progId="Equation.3" shapeId="4102" r:id="rId14">
          <objectPr defaultSize="0" autoPict="0" r:id="rId15">
            <anchor moveWithCells="1" sizeWithCells="1">
              <from>
                <xdr:col>1</xdr:col>
                <xdr:colOff>352425</xdr:colOff>
                <xdr:row>175</xdr:row>
                <xdr:rowOff>95250</xdr:rowOff>
              </from>
              <to>
                <xdr:col>4</xdr:col>
                <xdr:colOff>0</xdr:colOff>
                <xdr:row>177</xdr:row>
                <xdr:rowOff>104775</xdr:rowOff>
              </to>
            </anchor>
          </objectPr>
        </oleObject>
      </mc:Choice>
      <mc:Fallback>
        <oleObject progId="Equation.3" shapeId="4102" r:id="rId14"/>
      </mc:Fallback>
    </mc:AlternateContent>
    <mc:AlternateContent xmlns:mc="http://schemas.openxmlformats.org/markup-compatibility/2006">
      <mc:Choice Requires="x14">
        <oleObject progId="Equation.3" shapeId="4103" r:id="rId16">
          <objectPr defaultSize="0" autoPict="0" r:id="rId17">
            <anchor moveWithCells="1" sizeWithCells="1">
              <from>
                <xdr:col>1</xdr:col>
                <xdr:colOff>571500</xdr:colOff>
                <xdr:row>180</xdr:row>
                <xdr:rowOff>0</xdr:rowOff>
              </from>
              <to>
                <xdr:col>2</xdr:col>
                <xdr:colOff>485775</xdr:colOff>
                <xdr:row>180</xdr:row>
                <xdr:rowOff>0</xdr:rowOff>
              </to>
            </anchor>
          </objectPr>
        </oleObject>
      </mc:Choice>
      <mc:Fallback>
        <oleObject progId="Equation.3" shapeId="4103" r:id="rId16"/>
      </mc:Fallback>
    </mc:AlternateContent>
    <mc:AlternateContent xmlns:mc="http://schemas.openxmlformats.org/markup-compatibility/2006">
      <mc:Choice Requires="x14">
        <oleObject progId="Equation.3" shapeId="4104" r:id="rId18">
          <objectPr defaultSize="0" autoPict="0" r:id="rId19">
            <anchor moveWithCells="1" sizeWithCells="1">
              <from>
                <xdr:col>6</xdr:col>
                <xdr:colOff>95250</xdr:colOff>
                <xdr:row>180</xdr:row>
                <xdr:rowOff>0</xdr:rowOff>
              </from>
              <to>
                <xdr:col>6</xdr:col>
                <xdr:colOff>228600</xdr:colOff>
                <xdr:row>180</xdr:row>
                <xdr:rowOff>0</xdr:rowOff>
              </to>
            </anchor>
          </objectPr>
        </oleObject>
      </mc:Choice>
      <mc:Fallback>
        <oleObject progId="Equation.3" shapeId="4104" r:id="rId18"/>
      </mc:Fallback>
    </mc:AlternateContent>
    <mc:AlternateContent xmlns:mc="http://schemas.openxmlformats.org/markup-compatibility/2006">
      <mc:Choice Requires="x14">
        <oleObject progId="Equation.3" shapeId="4105" r:id="rId20">
          <objectPr defaultSize="0" autoPict="0" r:id="rId19">
            <anchor moveWithCells="1" sizeWithCells="1">
              <from>
                <xdr:col>6</xdr:col>
                <xdr:colOff>95250</xdr:colOff>
                <xdr:row>180</xdr:row>
                <xdr:rowOff>0</xdr:rowOff>
              </from>
              <to>
                <xdr:col>6</xdr:col>
                <xdr:colOff>238125</xdr:colOff>
                <xdr:row>180</xdr:row>
                <xdr:rowOff>0</xdr:rowOff>
              </to>
            </anchor>
          </objectPr>
        </oleObject>
      </mc:Choice>
      <mc:Fallback>
        <oleObject progId="Equation.3" shapeId="4105" r:id="rId20"/>
      </mc:Fallback>
    </mc:AlternateContent>
    <mc:AlternateContent xmlns:mc="http://schemas.openxmlformats.org/markup-compatibility/2006">
      <mc:Choice Requires="x14">
        <oleObject progId="Equation.3" shapeId="4106" r:id="rId21">
          <objectPr defaultSize="0" autoPict="0" r:id="rId22">
            <anchor moveWithCells="1" sizeWithCells="1">
              <from>
                <xdr:col>1</xdr:col>
                <xdr:colOff>57150</xdr:colOff>
                <xdr:row>180</xdr:row>
                <xdr:rowOff>0</xdr:rowOff>
              </from>
              <to>
                <xdr:col>3</xdr:col>
                <xdr:colOff>257175</xdr:colOff>
                <xdr:row>180</xdr:row>
                <xdr:rowOff>0</xdr:rowOff>
              </to>
            </anchor>
          </objectPr>
        </oleObject>
      </mc:Choice>
      <mc:Fallback>
        <oleObject progId="Equation.3" shapeId="4106" r:id="rId21"/>
      </mc:Fallback>
    </mc:AlternateContent>
    <mc:AlternateContent xmlns:mc="http://schemas.openxmlformats.org/markup-compatibility/2006">
      <mc:Choice Requires="x14">
        <oleObject progId="Equation.3" shapeId="4107" r:id="rId23">
          <objectPr defaultSize="0" autoPict="0" r:id="rId24">
            <anchor moveWithCells="1" sizeWithCells="1">
              <from>
                <xdr:col>1</xdr:col>
                <xdr:colOff>66675</xdr:colOff>
                <xdr:row>180</xdr:row>
                <xdr:rowOff>0</xdr:rowOff>
              </from>
              <to>
                <xdr:col>3</xdr:col>
                <xdr:colOff>466725</xdr:colOff>
                <xdr:row>180</xdr:row>
                <xdr:rowOff>0</xdr:rowOff>
              </to>
            </anchor>
          </objectPr>
        </oleObject>
      </mc:Choice>
      <mc:Fallback>
        <oleObject progId="Equation.3" shapeId="4107" r:id="rId23"/>
      </mc:Fallback>
    </mc:AlternateContent>
    <mc:AlternateContent xmlns:mc="http://schemas.openxmlformats.org/markup-compatibility/2006">
      <mc:Choice Requires="x14">
        <oleObject progId="Equation.3" shapeId="4108" r:id="rId25">
          <objectPr defaultSize="0" autoPict="0" r:id="rId26">
            <anchor moveWithCells="1" sizeWithCells="1">
              <from>
                <xdr:col>2</xdr:col>
                <xdr:colOff>400050</xdr:colOff>
                <xdr:row>180</xdr:row>
                <xdr:rowOff>0</xdr:rowOff>
              </from>
              <to>
                <xdr:col>3</xdr:col>
                <xdr:colOff>333375</xdr:colOff>
                <xdr:row>180</xdr:row>
                <xdr:rowOff>0</xdr:rowOff>
              </to>
            </anchor>
          </objectPr>
        </oleObject>
      </mc:Choice>
      <mc:Fallback>
        <oleObject progId="Equation.3" shapeId="4108" r:id="rId25"/>
      </mc:Fallback>
    </mc:AlternateContent>
    <mc:AlternateContent xmlns:mc="http://schemas.openxmlformats.org/markup-compatibility/2006">
      <mc:Choice Requires="x14">
        <oleObject progId="Equation.3" shapeId="4109" r:id="rId27">
          <objectPr defaultSize="0" autoPict="0" r:id="rId28">
            <anchor moveWithCells="1" sizeWithCells="1">
              <from>
                <xdr:col>3</xdr:col>
                <xdr:colOff>438150</xdr:colOff>
                <xdr:row>180</xdr:row>
                <xdr:rowOff>0</xdr:rowOff>
              </from>
              <to>
                <xdr:col>5</xdr:col>
                <xdr:colOff>657225</xdr:colOff>
                <xdr:row>180</xdr:row>
                <xdr:rowOff>0</xdr:rowOff>
              </to>
            </anchor>
          </objectPr>
        </oleObject>
      </mc:Choice>
      <mc:Fallback>
        <oleObject progId="Equation.3" shapeId="4109" r:id="rId27"/>
      </mc:Fallback>
    </mc:AlternateContent>
    <mc:AlternateContent xmlns:mc="http://schemas.openxmlformats.org/markup-compatibility/2006">
      <mc:Choice Requires="x14">
        <oleObject progId="Equation.3" shapeId="4110" r:id="rId29">
          <objectPr defaultSize="0" autoPict="0" r:id="rId30">
            <anchor moveWithCells="1" sizeWithCells="1">
              <from>
                <xdr:col>6</xdr:col>
                <xdr:colOff>9525</xdr:colOff>
                <xdr:row>180</xdr:row>
                <xdr:rowOff>0</xdr:rowOff>
              </from>
              <to>
                <xdr:col>7</xdr:col>
                <xdr:colOff>504825</xdr:colOff>
                <xdr:row>180</xdr:row>
                <xdr:rowOff>0</xdr:rowOff>
              </to>
            </anchor>
          </objectPr>
        </oleObject>
      </mc:Choice>
      <mc:Fallback>
        <oleObject progId="Equation.3" shapeId="4110" r:id="rId29"/>
      </mc:Fallback>
    </mc:AlternateContent>
    <mc:AlternateContent xmlns:mc="http://schemas.openxmlformats.org/markup-compatibility/2006">
      <mc:Choice Requires="x14">
        <oleObject progId="Equation.3" shapeId="4111" r:id="rId31">
          <objectPr defaultSize="0" autoPict="0" r:id="rId5">
            <anchor moveWithCells="1" sizeWithCells="1">
              <from>
                <xdr:col>1</xdr:col>
                <xdr:colOff>95250</xdr:colOff>
                <xdr:row>180</xdr:row>
                <xdr:rowOff>0</xdr:rowOff>
              </from>
              <to>
                <xdr:col>2</xdr:col>
                <xdr:colOff>9525</xdr:colOff>
                <xdr:row>180</xdr:row>
                <xdr:rowOff>0</xdr:rowOff>
              </to>
            </anchor>
          </objectPr>
        </oleObject>
      </mc:Choice>
      <mc:Fallback>
        <oleObject progId="Equation.3" shapeId="4111" r:id="rId31"/>
      </mc:Fallback>
    </mc:AlternateContent>
    <mc:AlternateContent xmlns:mc="http://schemas.openxmlformats.org/markup-compatibility/2006">
      <mc:Choice Requires="x14">
        <oleObject progId="Equation.3" shapeId="4112" r:id="rId32">
          <objectPr defaultSize="0" autoPict="0" r:id="rId33">
            <anchor moveWithCells="1" sizeWithCells="1">
              <from>
                <xdr:col>4</xdr:col>
                <xdr:colOff>523875</xdr:colOff>
                <xdr:row>180</xdr:row>
                <xdr:rowOff>0</xdr:rowOff>
              </from>
              <to>
                <xdr:col>6</xdr:col>
                <xdr:colOff>228600</xdr:colOff>
                <xdr:row>180</xdr:row>
                <xdr:rowOff>0</xdr:rowOff>
              </to>
            </anchor>
          </objectPr>
        </oleObject>
      </mc:Choice>
      <mc:Fallback>
        <oleObject progId="Equation.3" shapeId="4112" r:id="rId32"/>
      </mc:Fallback>
    </mc:AlternateContent>
    <mc:AlternateContent xmlns:mc="http://schemas.openxmlformats.org/markup-compatibility/2006">
      <mc:Choice Requires="x14">
        <oleObject progId="Equation.3" shapeId="4113" r:id="rId34">
          <objectPr defaultSize="0" autoPict="0" r:id="rId35">
            <anchor moveWithCells="1" sizeWithCells="1">
              <from>
                <xdr:col>10</xdr:col>
                <xdr:colOff>28575</xdr:colOff>
                <xdr:row>180</xdr:row>
                <xdr:rowOff>0</xdr:rowOff>
              </from>
              <to>
                <xdr:col>11</xdr:col>
                <xdr:colOff>142875</xdr:colOff>
                <xdr:row>180</xdr:row>
                <xdr:rowOff>0</xdr:rowOff>
              </to>
            </anchor>
          </objectPr>
        </oleObject>
      </mc:Choice>
      <mc:Fallback>
        <oleObject progId="Equation.3" shapeId="4113" r:id="rId34"/>
      </mc:Fallback>
    </mc:AlternateContent>
    <mc:AlternateContent xmlns:mc="http://schemas.openxmlformats.org/markup-compatibility/2006">
      <mc:Choice Requires="x14">
        <oleObject progId="Equation.3" shapeId="4114" r:id="rId36">
          <objectPr defaultSize="0" autoPict="0" r:id="rId37">
            <anchor moveWithCells="1" sizeWithCells="1">
              <from>
                <xdr:col>6</xdr:col>
                <xdr:colOff>457200</xdr:colOff>
                <xdr:row>179</xdr:row>
                <xdr:rowOff>0</xdr:rowOff>
              </from>
              <to>
                <xdr:col>7</xdr:col>
                <xdr:colOff>361950</xdr:colOff>
                <xdr:row>179</xdr:row>
                <xdr:rowOff>0</xdr:rowOff>
              </to>
            </anchor>
          </objectPr>
        </oleObject>
      </mc:Choice>
      <mc:Fallback>
        <oleObject progId="Equation.3" shapeId="4114" r:id="rId36"/>
      </mc:Fallback>
    </mc:AlternateContent>
    <mc:AlternateContent xmlns:mc="http://schemas.openxmlformats.org/markup-compatibility/2006">
      <mc:Choice Requires="x14">
        <oleObject progId="Equation.3" shapeId="4115" r:id="rId38">
          <objectPr defaultSize="0" autoPict="0" r:id="rId39">
            <anchor moveWithCells="1" sizeWithCells="1">
              <from>
                <xdr:col>1</xdr:col>
                <xdr:colOff>19050</xdr:colOff>
                <xdr:row>180</xdr:row>
                <xdr:rowOff>0</xdr:rowOff>
              </from>
              <to>
                <xdr:col>1</xdr:col>
                <xdr:colOff>552450</xdr:colOff>
                <xdr:row>180</xdr:row>
                <xdr:rowOff>0</xdr:rowOff>
              </to>
            </anchor>
          </objectPr>
        </oleObject>
      </mc:Choice>
      <mc:Fallback>
        <oleObject progId="Equation.3" shapeId="4115" r:id="rId38"/>
      </mc:Fallback>
    </mc:AlternateContent>
    <mc:AlternateContent xmlns:mc="http://schemas.openxmlformats.org/markup-compatibility/2006">
      <mc:Choice Requires="x14">
        <oleObject progId="Equation.3" shapeId="4116" r:id="rId40">
          <objectPr defaultSize="0" autoPict="0" r:id="rId41">
            <anchor moveWithCells="1" sizeWithCells="1">
              <from>
                <xdr:col>4</xdr:col>
                <xdr:colOff>47625</xdr:colOff>
                <xdr:row>180</xdr:row>
                <xdr:rowOff>0</xdr:rowOff>
              </from>
              <to>
                <xdr:col>6</xdr:col>
                <xdr:colOff>114300</xdr:colOff>
                <xdr:row>180</xdr:row>
                <xdr:rowOff>0</xdr:rowOff>
              </to>
            </anchor>
          </objectPr>
        </oleObject>
      </mc:Choice>
      <mc:Fallback>
        <oleObject progId="Equation.3" shapeId="4116" r:id="rId40"/>
      </mc:Fallback>
    </mc:AlternateContent>
    <mc:AlternateContent xmlns:mc="http://schemas.openxmlformats.org/markup-compatibility/2006">
      <mc:Choice Requires="x14">
        <oleObject progId="Equation.3" shapeId="4117" r:id="rId42">
          <objectPr defaultSize="0" autoPict="0" r:id="rId43">
            <anchor moveWithCells="1" sizeWithCells="1">
              <from>
                <xdr:col>2</xdr:col>
                <xdr:colOff>95250</xdr:colOff>
                <xdr:row>180</xdr:row>
                <xdr:rowOff>0</xdr:rowOff>
              </from>
              <to>
                <xdr:col>3</xdr:col>
                <xdr:colOff>85725</xdr:colOff>
                <xdr:row>180</xdr:row>
                <xdr:rowOff>0</xdr:rowOff>
              </to>
            </anchor>
          </objectPr>
        </oleObject>
      </mc:Choice>
      <mc:Fallback>
        <oleObject progId="Equation.3" shapeId="4117" r:id="rId42"/>
      </mc:Fallback>
    </mc:AlternateContent>
    <mc:AlternateContent xmlns:mc="http://schemas.openxmlformats.org/markup-compatibility/2006">
      <mc:Choice Requires="x14">
        <oleObject progId="Equation.3" shapeId="4118" r:id="rId44">
          <objectPr defaultSize="0" autoPict="0" r:id="rId45">
            <anchor moveWithCells="1" sizeWithCells="1">
              <from>
                <xdr:col>1</xdr:col>
                <xdr:colOff>0</xdr:colOff>
                <xdr:row>180</xdr:row>
                <xdr:rowOff>0</xdr:rowOff>
              </from>
              <to>
                <xdr:col>3</xdr:col>
                <xdr:colOff>276225</xdr:colOff>
                <xdr:row>180</xdr:row>
                <xdr:rowOff>0</xdr:rowOff>
              </to>
            </anchor>
          </objectPr>
        </oleObject>
      </mc:Choice>
      <mc:Fallback>
        <oleObject progId="Equation.3" shapeId="4118" r:id="rId44"/>
      </mc:Fallback>
    </mc:AlternateContent>
    <mc:AlternateContent xmlns:mc="http://schemas.openxmlformats.org/markup-compatibility/2006">
      <mc:Choice Requires="x14">
        <oleObject progId="Equation.3" shapeId="4119" r:id="rId46">
          <objectPr defaultSize="0" autoPict="0" r:id="rId19">
            <anchor moveWithCells="1" sizeWithCells="1">
              <from>
                <xdr:col>3</xdr:col>
                <xdr:colOff>381000</xdr:colOff>
                <xdr:row>180</xdr:row>
                <xdr:rowOff>0</xdr:rowOff>
              </from>
              <to>
                <xdr:col>3</xdr:col>
                <xdr:colOff>504825</xdr:colOff>
                <xdr:row>180</xdr:row>
                <xdr:rowOff>0</xdr:rowOff>
              </to>
            </anchor>
          </objectPr>
        </oleObject>
      </mc:Choice>
      <mc:Fallback>
        <oleObject progId="Equation.3" shapeId="4119" r:id="rId46"/>
      </mc:Fallback>
    </mc:AlternateContent>
    <mc:AlternateContent xmlns:mc="http://schemas.openxmlformats.org/markup-compatibility/2006">
      <mc:Choice Requires="x14">
        <oleObject progId="Equation.3" shapeId="4120" r:id="rId47">
          <objectPr defaultSize="0" autoPict="0" r:id="rId19">
            <anchor moveWithCells="1" sizeWithCells="1">
              <from>
                <xdr:col>3</xdr:col>
                <xdr:colOff>409575</xdr:colOff>
                <xdr:row>180</xdr:row>
                <xdr:rowOff>0</xdr:rowOff>
              </from>
              <to>
                <xdr:col>4</xdr:col>
                <xdr:colOff>9525</xdr:colOff>
                <xdr:row>180</xdr:row>
                <xdr:rowOff>0</xdr:rowOff>
              </to>
            </anchor>
          </objectPr>
        </oleObject>
      </mc:Choice>
      <mc:Fallback>
        <oleObject progId="Equation.3" shapeId="4120" r:id="rId47"/>
      </mc:Fallback>
    </mc:AlternateContent>
    <mc:AlternateContent xmlns:mc="http://schemas.openxmlformats.org/markup-compatibility/2006">
      <mc:Choice Requires="x14">
        <oleObject progId="Equation.3" shapeId="4121" r:id="rId48">
          <objectPr defaultSize="0" autoPict="0" r:id="rId19">
            <anchor moveWithCells="1" sizeWithCells="1">
              <from>
                <xdr:col>6</xdr:col>
                <xdr:colOff>57150</xdr:colOff>
                <xdr:row>182</xdr:row>
                <xdr:rowOff>0</xdr:rowOff>
              </from>
              <to>
                <xdr:col>6</xdr:col>
                <xdr:colOff>180975</xdr:colOff>
                <xdr:row>182</xdr:row>
                <xdr:rowOff>0</xdr:rowOff>
              </to>
            </anchor>
          </objectPr>
        </oleObject>
      </mc:Choice>
      <mc:Fallback>
        <oleObject progId="Equation.3" shapeId="4121" r:id="rId48"/>
      </mc:Fallback>
    </mc:AlternateContent>
    <mc:AlternateContent xmlns:mc="http://schemas.openxmlformats.org/markup-compatibility/2006">
      <mc:Choice Requires="x14">
        <oleObject progId="Equation.3" shapeId="4122" r:id="rId49">
          <objectPr defaultSize="0" autoPict="0" r:id="rId19">
            <anchor moveWithCells="1" sizeWithCells="1">
              <from>
                <xdr:col>6</xdr:col>
                <xdr:colOff>57150</xdr:colOff>
                <xdr:row>182</xdr:row>
                <xdr:rowOff>0</xdr:rowOff>
              </from>
              <to>
                <xdr:col>6</xdr:col>
                <xdr:colOff>180975</xdr:colOff>
                <xdr:row>182</xdr:row>
                <xdr:rowOff>0</xdr:rowOff>
              </to>
            </anchor>
          </objectPr>
        </oleObject>
      </mc:Choice>
      <mc:Fallback>
        <oleObject progId="Equation.3" shapeId="4122" r:id="rId49"/>
      </mc:Fallback>
    </mc:AlternateContent>
    <mc:AlternateContent xmlns:mc="http://schemas.openxmlformats.org/markup-compatibility/2006">
      <mc:Choice Requires="x14">
        <oleObject progId="Equation.3" shapeId="4123" r:id="rId50">
          <objectPr defaultSize="0" autoPict="0" r:id="rId19">
            <anchor moveWithCells="1" sizeWithCells="1">
              <from>
                <xdr:col>6</xdr:col>
                <xdr:colOff>57150</xdr:colOff>
                <xdr:row>182</xdr:row>
                <xdr:rowOff>0</xdr:rowOff>
              </from>
              <to>
                <xdr:col>6</xdr:col>
                <xdr:colOff>180975</xdr:colOff>
                <xdr:row>182</xdr:row>
                <xdr:rowOff>0</xdr:rowOff>
              </to>
            </anchor>
          </objectPr>
        </oleObject>
      </mc:Choice>
      <mc:Fallback>
        <oleObject progId="Equation.3" shapeId="4123" r:id="rId50"/>
      </mc:Fallback>
    </mc:AlternateContent>
    <mc:AlternateContent xmlns:mc="http://schemas.openxmlformats.org/markup-compatibility/2006">
      <mc:Choice Requires="x14">
        <oleObject progId="Equation.3" shapeId="4124" r:id="rId51">
          <objectPr defaultSize="0" autoPict="0" r:id="rId19">
            <anchor moveWithCells="1" sizeWithCells="1">
              <from>
                <xdr:col>5</xdr:col>
                <xdr:colOff>400050</xdr:colOff>
                <xdr:row>180</xdr:row>
                <xdr:rowOff>0</xdr:rowOff>
              </from>
              <to>
                <xdr:col>6</xdr:col>
                <xdr:colOff>9525</xdr:colOff>
                <xdr:row>180</xdr:row>
                <xdr:rowOff>0</xdr:rowOff>
              </to>
            </anchor>
          </objectPr>
        </oleObject>
      </mc:Choice>
      <mc:Fallback>
        <oleObject progId="Equation.3" shapeId="4124" r:id="rId51"/>
      </mc:Fallback>
    </mc:AlternateContent>
    <mc:AlternateContent xmlns:mc="http://schemas.openxmlformats.org/markup-compatibility/2006">
      <mc:Choice Requires="x14">
        <oleObject progId="Equation.3" shapeId="4125" r:id="rId52">
          <objectPr defaultSize="0" autoPict="0" r:id="rId5">
            <anchor moveWithCells="1" sizeWithCells="1">
              <from>
                <xdr:col>1</xdr:col>
                <xdr:colOff>295275</xdr:colOff>
                <xdr:row>185</xdr:row>
                <xdr:rowOff>180975</xdr:rowOff>
              </from>
              <to>
                <xdr:col>2</xdr:col>
                <xdr:colOff>66675</xdr:colOff>
                <xdr:row>187</xdr:row>
                <xdr:rowOff>0</xdr:rowOff>
              </to>
            </anchor>
          </objectPr>
        </oleObject>
      </mc:Choice>
      <mc:Fallback>
        <oleObject progId="Equation.3" shapeId="4125" r:id="rId52"/>
      </mc:Fallback>
    </mc:AlternateContent>
    <mc:AlternateContent xmlns:mc="http://schemas.openxmlformats.org/markup-compatibility/2006">
      <mc:Choice Requires="x14">
        <oleObject progId="Equation.3" shapeId="4126" r:id="rId53">
          <objectPr defaultSize="0" autoPict="0" r:id="rId54">
            <anchor moveWithCells="1" sizeWithCells="1">
              <from>
                <xdr:col>1</xdr:col>
                <xdr:colOff>152400</xdr:colOff>
                <xdr:row>188</xdr:row>
                <xdr:rowOff>19050</xdr:rowOff>
              </from>
              <to>
                <xdr:col>2</xdr:col>
                <xdr:colOff>323850</xdr:colOff>
                <xdr:row>191</xdr:row>
                <xdr:rowOff>19050</xdr:rowOff>
              </to>
            </anchor>
          </objectPr>
        </oleObject>
      </mc:Choice>
      <mc:Fallback>
        <oleObject progId="Equation.3" shapeId="4126" r:id="rId53"/>
      </mc:Fallback>
    </mc:AlternateContent>
    <mc:AlternateContent xmlns:mc="http://schemas.openxmlformats.org/markup-compatibility/2006">
      <mc:Choice Requires="x14">
        <oleObject progId="Equation.3" shapeId="4127" r:id="rId55">
          <objectPr defaultSize="0" autoPict="0" r:id="rId9">
            <anchor moveWithCells="1" sizeWithCells="1">
              <from>
                <xdr:col>2</xdr:col>
                <xdr:colOff>561975</xdr:colOff>
                <xdr:row>188</xdr:row>
                <xdr:rowOff>76200</xdr:rowOff>
              </from>
              <to>
                <xdr:col>4</xdr:col>
                <xdr:colOff>47625</xdr:colOff>
                <xdr:row>190</xdr:row>
                <xdr:rowOff>133350</xdr:rowOff>
              </to>
            </anchor>
          </objectPr>
        </oleObject>
      </mc:Choice>
      <mc:Fallback>
        <oleObject progId="Equation.3" shapeId="4127" r:id="rId55"/>
      </mc:Fallback>
    </mc:AlternateContent>
    <mc:AlternateContent xmlns:mc="http://schemas.openxmlformats.org/markup-compatibility/2006">
      <mc:Choice Requires="x14">
        <oleObject progId="Equation.3" shapeId="4128" r:id="rId56">
          <objectPr defaultSize="0" autoPict="0" r:id="rId11">
            <anchor moveWithCells="1" sizeWithCells="1">
              <from>
                <xdr:col>4</xdr:col>
                <xdr:colOff>104775</xdr:colOff>
                <xdr:row>193</xdr:row>
                <xdr:rowOff>161925</xdr:rowOff>
              </from>
              <to>
                <xdr:col>4</xdr:col>
                <xdr:colOff>800100</xdr:colOff>
                <xdr:row>195</xdr:row>
                <xdr:rowOff>0</xdr:rowOff>
              </to>
            </anchor>
          </objectPr>
        </oleObject>
      </mc:Choice>
      <mc:Fallback>
        <oleObject progId="Equation.3" shapeId="4128" r:id="rId56"/>
      </mc:Fallback>
    </mc:AlternateContent>
    <mc:AlternateContent xmlns:mc="http://schemas.openxmlformats.org/markup-compatibility/2006">
      <mc:Choice Requires="x14">
        <oleObject progId="Equation.3" shapeId="4129" r:id="rId57">
          <objectPr defaultSize="0" autoPict="0" r:id="rId13">
            <anchor moveWithCells="1" sizeWithCells="1">
              <from>
                <xdr:col>6</xdr:col>
                <xdr:colOff>19050</xdr:colOff>
                <xdr:row>188</xdr:row>
                <xdr:rowOff>142875</xdr:rowOff>
              </from>
              <to>
                <xdr:col>6</xdr:col>
                <xdr:colOff>447675</xdr:colOff>
                <xdr:row>190</xdr:row>
                <xdr:rowOff>85725</xdr:rowOff>
              </to>
            </anchor>
          </objectPr>
        </oleObject>
      </mc:Choice>
      <mc:Fallback>
        <oleObject progId="Equation.3" shapeId="4129" r:id="rId57"/>
      </mc:Fallback>
    </mc:AlternateContent>
    <mc:AlternateContent xmlns:mc="http://schemas.openxmlformats.org/markup-compatibility/2006">
      <mc:Choice Requires="x14">
        <oleObject progId="Equation.3" shapeId="4130" r:id="rId58">
          <objectPr defaultSize="0" autoPict="0" r:id="rId15">
            <anchor moveWithCells="1" sizeWithCells="1">
              <from>
                <xdr:col>1</xdr:col>
                <xdr:colOff>352425</xdr:colOff>
                <xdr:row>191</xdr:row>
                <xdr:rowOff>95250</xdr:rowOff>
              </from>
              <to>
                <xdr:col>4</xdr:col>
                <xdr:colOff>0</xdr:colOff>
                <xdr:row>193</xdr:row>
                <xdr:rowOff>104775</xdr:rowOff>
              </to>
            </anchor>
          </objectPr>
        </oleObject>
      </mc:Choice>
      <mc:Fallback>
        <oleObject progId="Equation.3" shapeId="4130" r:id="rId58"/>
      </mc:Fallback>
    </mc:AlternateContent>
    <mc:AlternateContent xmlns:mc="http://schemas.openxmlformats.org/markup-compatibility/2006">
      <mc:Choice Requires="x14">
        <oleObject progId="Equation.3" shapeId="4131" r:id="rId59">
          <objectPr defaultSize="0" autoPict="0" r:id="rId17">
            <anchor moveWithCells="1" sizeWithCells="1">
              <from>
                <xdr:col>1</xdr:col>
                <xdr:colOff>571500</xdr:colOff>
                <xdr:row>196</xdr:row>
                <xdr:rowOff>0</xdr:rowOff>
              </from>
              <to>
                <xdr:col>2</xdr:col>
                <xdr:colOff>485775</xdr:colOff>
                <xdr:row>196</xdr:row>
                <xdr:rowOff>0</xdr:rowOff>
              </to>
            </anchor>
          </objectPr>
        </oleObject>
      </mc:Choice>
      <mc:Fallback>
        <oleObject progId="Equation.3" shapeId="4131" r:id="rId59"/>
      </mc:Fallback>
    </mc:AlternateContent>
    <mc:AlternateContent xmlns:mc="http://schemas.openxmlformats.org/markup-compatibility/2006">
      <mc:Choice Requires="x14">
        <oleObject progId="Equation.3" shapeId="4132" r:id="rId60">
          <objectPr defaultSize="0" autoPict="0" r:id="rId19">
            <anchor moveWithCells="1" sizeWithCells="1">
              <from>
                <xdr:col>6</xdr:col>
                <xdr:colOff>95250</xdr:colOff>
                <xdr:row>196</xdr:row>
                <xdr:rowOff>0</xdr:rowOff>
              </from>
              <to>
                <xdr:col>6</xdr:col>
                <xdr:colOff>228600</xdr:colOff>
                <xdr:row>196</xdr:row>
                <xdr:rowOff>0</xdr:rowOff>
              </to>
            </anchor>
          </objectPr>
        </oleObject>
      </mc:Choice>
      <mc:Fallback>
        <oleObject progId="Equation.3" shapeId="4132" r:id="rId60"/>
      </mc:Fallback>
    </mc:AlternateContent>
    <mc:AlternateContent xmlns:mc="http://schemas.openxmlformats.org/markup-compatibility/2006">
      <mc:Choice Requires="x14">
        <oleObject progId="Equation.3" shapeId="4133" r:id="rId61">
          <objectPr defaultSize="0" autoPict="0" r:id="rId19">
            <anchor moveWithCells="1" sizeWithCells="1">
              <from>
                <xdr:col>6</xdr:col>
                <xdr:colOff>95250</xdr:colOff>
                <xdr:row>196</xdr:row>
                <xdr:rowOff>0</xdr:rowOff>
              </from>
              <to>
                <xdr:col>6</xdr:col>
                <xdr:colOff>238125</xdr:colOff>
                <xdr:row>196</xdr:row>
                <xdr:rowOff>0</xdr:rowOff>
              </to>
            </anchor>
          </objectPr>
        </oleObject>
      </mc:Choice>
      <mc:Fallback>
        <oleObject progId="Equation.3" shapeId="4133" r:id="rId61"/>
      </mc:Fallback>
    </mc:AlternateContent>
    <mc:AlternateContent xmlns:mc="http://schemas.openxmlformats.org/markup-compatibility/2006">
      <mc:Choice Requires="x14">
        <oleObject progId="Equation.3" shapeId="4134" r:id="rId62">
          <objectPr defaultSize="0" autoPict="0" r:id="rId22">
            <anchor moveWithCells="1" sizeWithCells="1">
              <from>
                <xdr:col>1</xdr:col>
                <xdr:colOff>57150</xdr:colOff>
                <xdr:row>196</xdr:row>
                <xdr:rowOff>0</xdr:rowOff>
              </from>
              <to>
                <xdr:col>3</xdr:col>
                <xdr:colOff>257175</xdr:colOff>
                <xdr:row>196</xdr:row>
                <xdr:rowOff>0</xdr:rowOff>
              </to>
            </anchor>
          </objectPr>
        </oleObject>
      </mc:Choice>
      <mc:Fallback>
        <oleObject progId="Equation.3" shapeId="4134" r:id="rId62"/>
      </mc:Fallback>
    </mc:AlternateContent>
    <mc:AlternateContent xmlns:mc="http://schemas.openxmlformats.org/markup-compatibility/2006">
      <mc:Choice Requires="x14">
        <oleObject progId="Equation.3" shapeId="4135" r:id="rId63">
          <objectPr defaultSize="0" autoPict="0" r:id="rId24">
            <anchor moveWithCells="1" sizeWithCells="1">
              <from>
                <xdr:col>1</xdr:col>
                <xdr:colOff>66675</xdr:colOff>
                <xdr:row>196</xdr:row>
                <xdr:rowOff>0</xdr:rowOff>
              </from>
              <to>
                <xdr:col>3</xdr:col>
                <xdr:colOff>466725</xdr:colOff>
                <xdr:row>196</xdr:row>
                <xdr:rowOff>0</xdr:rowOff>
              </to>
            </anchor>
          </objectPr>
        </oleObject>
      </mc:Choice>
      <mc:Fallback>
        <oleObject progId="Equation.3" shapeId="4135" r:id="rId63"/>
      </mc:Fallback>
    </mc:AlternateContent>
    <mc:AlternateContent xmlns:mc="http://schemas.openxmlformats.org/markup-compatibility/2006">
      <mc:Choice Requires="x14">
        <oleObject progId="Equation.3" shapeId="4136" r:id="rId64">
          <objectPr defaultSize="0" autoPict="0" r:id="rId26">
            <anchor moveWithCells="1" sizeWithCells="1">
              <from>
                <xdr:col>2</xdr:col>
                <xdr:colOff>400050</xdr:colOff>
                <xdr:row>196</xdr:row>
                <xdr:rowOff>0</xdr:rowOff>
              </from>
              <to>
                <xdr:col>3</xdr:col>
                <xdr:colOff>333375</xdr:colOff>
                <xdr:row>196</xdr:row>
                <xdr:rowOff>0</xdr:rowOff>
              </to>
            </anchor>
          </objectPr>
        </oleObject>
      </mc:Choice>
      <mc:Fallback>
        <oleObject progId="Equation.3" shapeId="4136" r:id="rId64"/>
      </mc:Fallback>
    </mc:AlternateContent>
    <mc:AlternateContent xmlns:mc="http://schemas.openxmlformats.org/markup-compatibility/2006">
      <mc:Choice Requires="x14">
        <oleObject progId="Equation.3" shapeId="4137" r:id="rId65">
          <objectPr defaultSize="0" autoPict="0" r:id="rId28">
            <anchor moveWithCells="1" sizeWithCells="1">
              <from>
                <xdr:col>3</xdr:col>
                <xdr:colOff>438150</xdr:colOff>
                <xdr:row>196</xdr:row>
                <xdr:rowOff>0</xdr:rowOff>
              </from>
              <to>
                <xdr:col>5</xdr:col>
                <xdr:colOff>657225</xdr:colOff>
                <xdr:row>196</xdr:row>
                <xdr:rowOff>0</xdr:rowOff>
              </to>
            </anchor>
          </objectPr>
        </oleObject>
      </mc:Choice>
      <mc:Fallback>
        <oleObject progId="Equation.3" shapeId="4137" r:id="rId65"/>
      </mc:Fallback>
    </mc:AlternateContent>
    <mc:AlternateContent xmlns:mc="http://schemas.openxmlformats.org/markup-compatibility/2006">
      <mc:Choice Requires="x14">
        <oleObject progId="Equation.3" shapeId="4138" r:id="rId66">
          <objectPr defaultSize="0" autoPict="0" r:id="rId30">
            <anchor moveWithCells="1" sizeWithCells="1">
              <from>
                <xdr:col>6</xdr:col>
                <xdr:colOff>9525</xdr:colOff>
                <xdr:row>196</xdr:row>
                <xdr:rowOff>0</xdr:rowOff>
              </from>
              <to>
                <xdr:col>7</xdr:col>
                <xdr:colOff>504825</xdr:colOff>
                <xdr:row>196</xdr:row>
                <xdr:rowOff>0</xdr:rowOff>
              </to>
            </anchor>
          </objectPr>
        </oleObject>
      </mc:Choice>
      <mc:Fallback>
        <oleObject progId="Equation.3" shapeId="4138" r:id="rId66"/>
      </mc:Fallback>
    </mc:AlternateContent>
    <mc:AlternateContent xmlns:mc="http://schemas.openxmlformats.org/markup-compatibility/2006">
      <mc:Choice Requires="x14">
        <oleObject progId="Equation.3" shapeId="4139" r:id="rId67">
          <objectPr defaultSize="0" autoPict="0" r:id="rId5">
            <anchor moveWithCells="1" sizeWithCells="1">
              <from>
                <xdr:col>1</xdr:col>
                <xdr:colOff>95250</xdr:colOff>
                <xdr:row>196</xdr:row>
                <xdr:rowOff>0</xdr:rowOff>
              </from>
              <to>
                <xdr:col>2</xdr:col>
                <xdr:colOff>9525</xdr:colOff>
                <xdr:row>196</xdr:row>
                <xdr:rowOff>0</xdr:rowOff>
              </to>
            </anchor>
          </objectPr>
        </oleObject>
      </mc:Choice>
      <mc:Fallback>
        <oleObject progId="Equation.3" shapeId="4139" r:id="rId67"/>
      </mc:Fallback>
    </mc:AlternateContent>
    <mc:AlternateContent xmlns:mc="http://schemas.openxmlformats.org/markup-compatibility/2006">
      <mc:Choice Requires="x14">
        <oleObject progId="Equation.3" shapeId="4140" r:id="rId68">
          <objectPr defaultSize="0" autoPict="0" r:id="rId33">
            <anchor moveWithCells="1" sizeWithCells="1">
              <from>
                <xdr:col>4</xdr:col>
                <xdr:colOff>523875</xdr:colOff>
                <xdr:row>196</xdr:row>
                <xdr:rowOff>0</xdr:rowOff>
              </from>
              <to>
                <xdr:col>6</xdr:col>
                <xdr:colOff>228600</xdr:colOff>
                <xdr:row>196</xdr:row>
                <xdr:rowOff>0</xdr:rowOff>
              </to>
            </anchor>
          </objectPr>
        </oleObject>
      </mc:Choice>
      <mc:Fallback>
        <oleObject progId="Equation.3" shapeId="4140" r:id="rId68"/>
      </mc:Fallback>
    </mc:AlternateContent>
    <mc:AlternateContent xmlns:mc="http://schemas.openxmlformats.org/markup-compatibility/2006">
      <mc:Choice Requires="x14">
        <oleObject progId="Equation.3" shapeId="4141" r:id="rId69">
          <objectPr defaultSize="0" autoPict="0" r:id="rId37">
            <anchor moveWithCells="1" sizeWithCells="1">
              <from>
                <xdr:col>6</xdr:col>
                <xdr:colOff>457200</xdr:colOff>
                <xdr:row>195</xdr:row>
                <xdr:rowOff>0</xdr:rowOff>
              </from>
              <to>
                <xdr:col>7</xdr:col>
                <xdr:colOff>361950</xdr:colOff>
                <xdr:row>195</xdr:row>
                <xdr:rowOff>0</xdr:rowOff>
              </to>
            </anchor>
          </objectPr>
        </oleObject>
      </mc:Choice>
      <mc:Fallback>
        <oleObject progId="Equation.3" shapeId="4141" r:id="rId69"/>
      </mc:Fallback>
    </mc:AlternateContent>
    <mc:AlternateContent xmlns:mc="http://schemas.openxmlformats.org/markup-compatibility/2006">
      <mc:Choice Requires="x14">
        <oleObject progId="Equation.3" shapeId="4142" r:id="rId70">
          <objectPr defaultSize="0" autoPict="0" r:id="rId39">
            <anchor moveWithCells="1" sizeWithCells="1">
              <from>
                <xdr:col>1</xdr:col>
                <xdr:colOff>19050</xdr:colOff>
                <xdr:row>196</xdr:row>
                <xdr:rowOff>0</xdr:rowOff>
              </from>
              <to>
                <xdr:col>1</xdr:col>
                <xdr:colOff>552450</xdr:colOff>
                <xdr:row>196</xdr:row>
                <xdr:rowOff>0</xdr:rowOff>
              </to>
            </anchor>
          </objectPr>
        </oleObject>
      </mc:Choice>
      <mc:Fallback>
        <oleObject progId="Equation.3" shapeId="4142" r:id="rId70"/>
      </mc:Fallback>
    </mc:AlternateContent>
    <mc:AlternateContent xmlns:mc="http://schemas.openxmlformats.org/markup-compatibility/2006">
      <mc:Choice Requires="x14">
        <oleObject progId="Equation.3" shapeId="4143" r:id="rId71">
          <objectPr defaultSize="0" autoPict="0" r:id="rId41">
            <anchor moveWithCells="1" sizeWithCells="1">
              <from>
                <xdr:col>4</xdr:col>
                <xdr:colOff>47625</xdr:colOff>
                <xdr:row>196</xdr:row>
                <xdr:rowOff>0</xdr:rowOff>
              </from>
              <to>
                <xdr:col>6</xdr:col>
                <xdr:colOff>114300</xdr:colOff>
                <xdr:row>196</xdr:row>
                <xdr:rowOff>0</xdr:rowOff>
              </to>
            </anchor>
          </objectPr>
        </oleObject>
      </mc:Choice>
      <mc:Fallback>
        <oleObject progId="Equation.3" shapeId="4143" r:id="rId71"/>
      </mc:Fallback>
    </mc:AlternateContent>
    <mc:AlternateContent xmlns:mc="http://schemas.openxmlformats.org/markup-compatibility/2006">
      <mc:Choice Requires="x14">
        <oleObject progId="Equation.3" shapeId="4144" r:id="rId72">
          <objectPr defaultSize="0" autoPict="0" r:id="rId43">
            <anchor moveWithCells="1" sizeWithCells="1">
              <from>
                <xdr:col>2</xdr:col>
                <xdr:colOff>95250</xdr:colOff>
                <xdr:row>196</xdr:row>
                <xdr:rowOff>0</xdr:rowOff>
              </from>
              <to>
                <xdr:col>3</xdr:col>
                <xdr:colOff>85725</xdr:colOff>
                <xdr:row>196</xdr:row>
                <xdr:rowOff>0</xdr:rowOff>
              </to>
            </anchor>
          </objectPr>
        </oleObject>
      </mc:Choice>
      <mc:Fallback>
        <oleObject progId="Equation.3" shapeId="4144" r:id="rId72"/>
      </mc:Fallback>
    </mc:AlternateContent>
    <mc:AlternateContent xmlns:mc="http://schemas.openxmlformats.org/markup-compatibility/2006">
      <mc:Choice Requires="x14">
        <oleObject progId="Equation.3" shapeId="4145" r:id="rId73">
          <objectPr defaultSize="0" autoPict="0" r:id="rId45">
            <anchor moveWithCells="1" sizeWithCells="1">
              <from>
                <xdr:col>1</xdr:col>
                <xdr:colOff>0</xdr:colOff>
                <xdr:row>196</xdr:row>
                <xdr:rowOff>0</xdr:rowOff>
              </from>
              <to>
                <xdr:col>3</xdr:col>
                <xdr:colOff>276225</xdr:colOff>
                <xdr:row>196</xdr:row>
                <xdr:rowOff>0</xdr:rowOff>
              </to>
            </anchor>
          </objectPr>
        </oleObject>
      </mc:Choice>
      <mc:Fallback>
        <oleObject progId="Equation.3" shapeId="4145" r:id="rId73"/>
      </mc:Fallback>
    </mc:AlternateContent>
    <mc:AlternateContent xmlns:mc="http://schemas.openxmlformats.org/markup-compatibility/2006">
      <mc:Choice Requires="x14">
        <oleObject progId="Equation.3" shapeId="4146" r:id="rId74">
          <objectPr defaultSize="0" autoPict="0" r:id="rId19">
            <anchor moveWithCells="1" sizeWithCells="1">
              <from>
                <xdr:col>3</xdr:col>
                <xdr:colOff>381000</xdr:colOff>
                <xdr:row>196</xdr:row>
                <xdr:rowOff>0</xdr:rowOff>
              </from>
              <to>
                <xdr:col>3</xdr:col>
                <xdr:colOff>504825</xdr:colOff>
                <xdr:row>196</xdr:row>
                <xdr:rowOff>0</xdr:rowOff>
              </to>
            </anchor>
          </objectPr>
        </oleObject>
      </mc:Choice>
      <mc:Fallback>
        <oleObject progId="Equation.3" shapeId="4146" r:id="rId74"/>
      </mc:Fallback>
    </mc:AlternateContent>
    <mc:AlternateContent xmlns:mc="http://schemas.openxmlformats.org/markup-compatibility/2006">
      <mc:Choice Requires="x14">
        <oleObject progId="Equation.3" shapeId="4147" r:id="rId75">
          <objectPr defaultSize="0" autoPict="0" r:id="rId19">
            <anchor moveWithCells="1" sizeWithCells="1">
              <from>
                <xdr:col>3</xdr:col>
                <xdr:colOff>409575</xdr:colOff>
                <xdr:row>196</xdr:row>
                <xdr:rowOff>0</xdr:rowOff>
              </from>
              <to>
                <xdr:col>4</xdr:col>
                <xdr:colOff>9525</xdr:colOff>
                <xdr:row>196</xdr:row>
                <xdr:rowOff>0</xdr:rowOff>
              </to>
            </anchor>
          </objectPr>
        </oleObject>
      </mc:Choice>
      <mc:Fallback>
        <oleObject progId="Equation.3" shapeId="4147" r:id="rId75"/>
      </mc:Fallback>
    </mc:AlternateContent>
    <mc:AlternateContent xmlns:mc="http://schemas.openxmlformats.org/markup-compatibility/2006">
      <mc:Choice Requires="x14">
        <oleObject progId="Equation.3" shapeId="4148" r:id="rId76">
          <objectPr defaultSize="0" autoPict="0" r:id="rId19">
            <anchor moveWithCells="1" sizeWithCells="1">
              <from>
                <xdr:col>5</xdr:col>
                <xdr:colOff>400050</xdr:colOff>
                <xdr:row>196</xdr:row>
                <xdr:rowOff>0</xdr:rowOff>
              </from>
              <to>
                <xdr:col>6</xdr:col>
                <xdr:colOff>9525</xdr:colOff>
                <xdr:row>196</xdr:row>
                <xdr:rowOff>0</xdr:rowOff>
              </to>
            </anchor>
          </objectPr>
        </oleObject>
      </mc:Choice>
      <mc:Fallback>
        <oleObject progId="Equation.3" shapeId="4148" r:id="rId7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zoomScale="80" zoomScaleNormal="80" zoomScaleSheetLayoutView="55" workbookViewId="0">
      <selection activeCell="B23" sqref="B23:H23"/>
    </sheetView>
  </sheetViews>
  <sheetFormatPr defaultRowHeight="15"/>
  <cols>
    <col min="1" max="1" width="3.28515625" customWidth="1"/>
    <col min="2" max="2" width="20" customWidth="1"/>
    <col min="3" max="3" width="17.85546875" customWidth="1"/>
    <col min="4" max="4" width="10.5703125" bestFit="1" customWidth="1"/>
    <col min="5" max="5" width="4.28515625" customWidth="1"/>
  </cols>
  <sheetData>
    <row r="3" spans="2:9">
      <c r="B3" s="205" t="s">
        <v>338</v>
      </c>
      <c r="C3" s="205"/>
      <c r="D3" s="205"/>
      <c r="E3" s="205"/>
      <c r="F3" s="205"/>
      <c r="G3" s="205"/>
      <c r="H3" s="205"/>
    </row>
    <row r="4" spans="2:9">
      <c r="B4" s="150"/>
      <c r="C4" s="150"/>
      <c r="D4" s="150"/>
      <c r="E4" s="150"/>
      <c r="F4" s="150"/>
      <c r="G4" s="150"/>
      <c r="H4" s="150"/>
    </row>
    <row r="5" spans="2:9">
      <c r="B5" s="150"/>
      <c r="C5" s="150"/>
      <c r="D5" s="150"/>
      <c r="E5" s="150"/>
      <c r="F5" s="110" t="s">
        <v>66</v>
      </c>
      <c r="G5" s="108" t="s">
        <v>67</v>
      </c>
      <c r="H5" s="127"/>
      <c r="I5" s="127"/>
    </row>
    <row r="6" spans="2:9">
      <c r="B6" s="150"/>
      <c r="C6" s="150"/>
      <c r="D6" s="150"/>
      <c r="E6" s="151"/>
      <c r="F6" s="152"/>
      <c r="G6" s="109"/>
      <c r="H6" s="127"/>
      <c r="I6" s="127"/>
    </row>
    <row r="7" spans="2:9">
      <c r="B7" s="144"/>
      <c r="C7" s="145" t="s">
        <v>248</v>
      </c>
      <c r="D7" s="144"/>
      <c r="E7" s="144"/>
      <c r="F7" s="145" t="s">
        <v>249</v>
      </c>
      <c r="G7" s="145" t="s">
        <v>250</v>
      </c>
      <c r="H7" s="144"/>
    </row>
    <row r="8" spans="2:9">
      <c r="B8" s="144"/>
      <c r="C8" s="144" t="s">
        <v>251</v>
      </c>
      <c r="D8" s="144"/>
      <c r="E8" s="144"/>
      <c r="F8" s="153">
        <v>50</v>
      </c>
      <c r="G8" s="144" t="s">
        <v>252</v>
      </c>
      <c r="H8" s="144"/>
    </row>
    <row r="9" spans="2:9">
      <c r="B9" s="144"/>
      <c r="C9" s="146" t="s">
        <v>253</v>
      </c>
      <c r="D9" s="144"/>
      <c r="E9" s="144"/>
      <c r="F9" s="153">
        <v>30</v>
      </c>
      <c r="G9" s="144" t="s">
        <v>255</v>
      </c>
      <c r="H9" s="144"/>
    </row>
    <row r="10" spans="2:9">
      <c r="B10" s="144"/>
      <c r="C10" s="146" t="s">
        <v>254</v>
      </c>
      <c r="D10" s="144"/>
      <c r="E10" s="144"/>
      <c r="F10" s="153">
        <v>400</v>
      </c>
      <c r="G10" s="144" t="s">
        <v>255</v>
      </c>
      <c r="H10" s="144"/>
    </row>
    <row r="11" spans="2:9">
      <c r="B11" s="144"/>
      <c r="C11" s="144" t="s">
        <v>256</v>
      </c>
      <c r="D11" s="144"/>
      <c r="E11" s="144"/>
      <c r="F11" s="153">
        <v>1000</v>
      </c>
      <c r="G11" s="144" t="s">
        <v>257</v>
      </c>
      <c r="H11" s="144"/>
    </row>
    <row r="12" spans="2:9">
      <c r="B12" s="144"/>
      <c r="C12" s="144" t="s">
        <v>258</v>
      </c>
      <c r="D12" s="144"/>
      <c r="E12" s="144"/>
      <c r="F12" s="153">
        <v>300</v>
      </c>
      <c r="G12" s="144" t="s">
        <v>257</v>
      </c>
      <c r="H12" s="144"/>
    </row>
    <row r="13" spans="2:9">
      <c r="B13" s="144"/>
      <c r="C13" s="144" t="s">
        <v>259</v>
      </c>
      <c r="D13" s="144"/>
      <c r="E13" s="144"/>
      <c r="F13" s="153">
        <v>30</v>
      </c>
      <c r="G13" s="144" t="s">
        <v>257</v>
      </c>
      <c r="H13" s="144"/>
    </row>
    <row r="14" spans="2:9">
      <c r="B14" s="144"/>
      <c r="C14" s="144" t="s">
        <v>260</v>
      </c>
      <c r="D14" s="144"/>
      <c r="E14" s="144"/>
      <c r="F14" s="153">
        <v>10</v>
      </c>
      <c r="G14" s="144" t="s">
        <v>257</v>
      </c>
      <c r="H14" s="144"/>
    </row>
    <row r="15" spans="2:9">
      <c r="B15" s="144"/>
      <c r="C15" s="144" t="s">
        <v>261</v>
      </c>
      <c r="D15" s="144"/>
      <c r="E15" s="144"/>
      <c r="F15" s="144">
        <f>F12-F13-F14/2-F14</f>
        <v>255</v>
      </c>
      <c r="G15" s="144" t="s">
        <v>257</v>
      </c>
      <c r="H15" s="144"/>
    </row>
    <row r="16" spans="2:9">
      <c r="B16" s="144"/>
      <c r="C16" s="144" t="s">
        <v>262</v>
      </c>
      <c r="D16" s="144"/>
      <c r="E16" s="144"/>
      <c r="F16" s="147">
        <f>F8*10^6/(F11*F15^2*F9)</f>
        <v>2.563116749967961E-2</v>
      </c>
      <c r="G16" s="144" t="s">
        <v>263</v>
      </c>
      <c r="H16" s="154" t="str">
        <f>IF(F16&lt;0.167,"ok!","Not ok!")</f>
        <v>ok!</v>
      </c>
    </row>
    <row r="17" spans="2:8">
      <c r="B17" s="144"/>
      <c r="C17" s="144" t="s">
        <v>264</v>
      </c>
      <c r="D17" s="144"/>
      <c r="E17" s="144"/>
      <c r="F17" s="148">
        <f>F15*(0.5+SQRT(0.25-F16/1.134))</f>
        <v>249.09986146395929</v>
      </c>
      <c r="G17" s="144" t="s">
        <v>257</v>
      </c>
      <c r="H17" s="144"/>
    </row>
    <row r="18" spans="2:8">
      <c r="B18" s="144"/>
      <c r="C18" s="144" t="s">
        <v>265</v>
      </c>
      <c r="D18" s="144"/>
      <c r="E18" s="144"/>
      <c r="F18" s="148">
        <f>F8*10^6/(0.87*F10*F17)</f>
        <v>576.78940516122339</v>
      </c>
      <c r="G18" s="144" t="s">
        <v>266</v>
      </c>
      <c r="H18" s="144"/>
    </row>
    <row r="19" spans="2:8">
      <c r="B19" s="144"/>
      <c r="C19" s="144" t="s">
        <v>267</v>
      </c>
      <c r="D19" s="144"/>
      <c r="E19" s="144"/>
      <c r="F19" s="148">
        <f>F18/(3.14*F14^2/4)</f>
        <v>7.3476357345378771</v>
      </c>
      <c r="G19" s="144" t="s">
        <v>268</v>
      </c>
      <c r="H19" s="144"/>
    </row>
    <row r="20" spans="2:8">
      <c r="B20" s="144"/>
      <c r="C20" s="149" t="s">
        <v>269</v>
      </c>
      <c r="D20" s="149"/>
      <c r="E20" s="149"/>
      <c r="F20" s="148">
        <f>1000/F19</f>
        <v>136.0982003094488</v>
      </c>
      <c r="G20" s="144"/>
      <c r="H20" s="144"/>
    </row>
    <row r="21" spans="2:8">
      <c r="B21" s="144"/>
      <c r="C21" s="149" t="s">
        <v>270</v>
      </c>
      <c r="D21" s="149"/>
      <c r="E21" s="149"/>
      <c r="F21" s="144">
        <v>130</v>
      </c>
      <c r="G21" s="144" t="s">
        <v>271</v>
      </c>
      <c r="H21" s="154" t="str">
        <f>IF(F21&lt;F20,"ok!","Not ok!")</f>
        <v>ok!</v>
      </c>
    </row>
    <row r="23" spans="2:8">
      <c r="B23" s="205" t="s">
        <v>339</v>
      </c>
      <c r="C23" s="205"/>
      <c r="D23" s="205"/>
      <c r="E23" s="205"/>
      <c r="F23" s="205"/>
      <c r="G23" s="205"/>
      <c r="H23" s="205"/>
    </row>
    <row r="24" spans="2:8">
      <c r="B24" s="155" t="s">
        <v>272</v>
      </c>
      <c r="C24" s="155"/>
      <c r="D24" s="155"/>
      <c r="E24" s="155"/>
      <c r="F24" s="155"/>
    </row>
    <row r="26" spans="2:8">
      <c r="B26" s="206" t="s">
        <v>273</v>
      </c>
      <c r="C26" s="206"/>
      <c r="D26" s="206"/>
      <c r="E26" s="206"/>
      <c r="F26" s="206"/>
      <c r="G26" s="206"/>
    </row>
    <row r="33" spans="2:6">
      <c r="B33" s="156" t="s">
        <v>274</v>
      </c>
    </row>
    <row r="34" spans="2:6">
      <c r="B34" s="156"/>
    </row>
    <row r="35" spans="2:6">
      <c r="B35" s="23" t="s">
        <v>275</v>
      </c>
      <c r="C35" t="s">
        <v>276</v>
      </c>
      <c r="D35" s="159">
        <v>203.58</v>
      </c>
      <c r="E35" t="s">
        <v>277</v>
      </c>
    </row>
    <row r="36" spans="2:6">
      <c r="B36" t="s">
        <v>278</v>
      </c>
      <c r="C36" s="150" t="s">
        <v>279</v>
      </c>
      <c r="D36" s="159">
        <v>25</v>
      </c>
      <c r="E36" t="s">
        <v>255</v>
      </c>
    </row>
    <row r="37" spans="2:6">
      <c r="B37" t="s">
        <v>280</v>
      </c>
      <c r="C37" s="157" t="s">
        <v>281</v>
      </c>
      <c r="D37" s="159">
        <f>16*16/4*3.14/0.16</f>
        <v>1256</v>
      </c>
      <c r="E37" t="s">
        <v>266</v>
      </c>
    </row>
    <row r="38" spans="2:6">
      <c r="B38" t="s">
        <v>282</v>
      </c>
      <c r="C38" s="157" t="s">
        <v>281</v>
      </c>
      <c r="D38" s="159">
        <f>16*16/4*3.14/0.16</f>
        <v>1256</v>
      </c>
      <c r="E38" t="s">
        <v>266</v>
      </c>
    </row>
    <row r="39" spans="2:6">
      <c r="B39" t="s">
        <v>283</v>
      </c>
      <c r="C39" t="s">
        <v>265</v>
      </c>
      <c r="D39">
        <f>SUM(D37:D38)</f>
        <v>2512</v>
      </c>
      <c r="E39" t="s">
        <v>266</v>
      </c>
    </row>
    <row r="40" spans="2:6">
      <c r="B40" t="s">
        <v>284</v>
      </c>
      <c r="C40" t="s">
        <v>285</v>
      </c>
      <c r="D40" s="159">
        <v>400</v>
      </c>
      <c r="E40" t="s">
        <v>257</v>
      </c>
    </row>
    <row r="41" spans="2:6">
      <c r="B41" t="s">
        <v>286</v>
      </c>
      <c r="C41" t="s">
        <v>287</v>
      </c>
      <c r="D41">
        <f>D40-30-16/2</f>
        <v>362</v>
      </c>
      <c r="E41" t="s">
        <v>257</v>
      </c>
    </row>
    <row r="42" spans="2:6">
      <c r="C42" t="s">
        <v>288</v>
      </c>
      <c r="D42" s="159">
        <v>1000</v>
      </c>
      <c r="E42" t="s">
        <v>257</v>
      </c>
    </row>
    <row r="43" spans="2:6">
      <c r="C43" t="s">
        <v>289</v>
      </c>
      <c r="D43" s="3">
        <f>D39/(D41*D42)*100</f>
        <v>0.69392265193370162</v>
      </c>
    </row>
    <row r="44" spans="2:6">
      <c r="B44" t="s">
        <v>290</v>
      </c>
      <c r="C44" t="s">
        <v>291</v>
      </c>
      <c r="D44" s="3">
        <f>0.79*(D36/25)^(1/3)*(D43)^(1/3)*(400/D41)^(1/4)/1.25</f>
        <v>0.57366535374408112</v>
      </c>
      <c r="E44" t="s">
        <v>292</v>
      </c>
    </row>
    <row r="45" spans="2:6">
      <c r="B45" t="s">
        <v>293</v>
      </c>
      <c r="C45" t="s">
        <v>294</v>
      </c>
      <c r="D45" s="3">
        <f>D44*D41*D42/1000</f>
        <v>207.66685805535735</v>
      </c>
      <c r="E45" t="s">
        <v>277</v>
      </c>
      <c r="F45" s="158" t="str">
        <f>IF(D35&lt;=D45,"ok!","Not ok!")</f>
        <v>ok!</v>
      </c>
    </row>
    <row r="46" spans="2:6">
      <c r="B46" t="s">
        <v>295</v>
      </c>
    </row>
  </sheetData>
  <mergeCells count="3">
    <mergeCell ref="B3:H3"/>
    <mergeCell ref="B26:G26"/>
    <mergeCell ref="B23:H23"/>
  </mergeCells>
  <pageMargins left="0.7" right="0.7" top="0.75" bottom="0.75" header="0.3" footer="0.3"/>
  <pageSetup scale="9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4"/>
  <sheetViews>
    <sheetView tabSelected="1" view="pageBreakPreview" topLeftCell="A36" zoomScale="76" zoomScaleNormal="100" zoomScaleSheetLayoutView="76" workbookViewId="0">
      <selection activeCell="D58" sqref="D58:I58"/>
    </sheetView>
  </sheetViews>
  <sheetFormatPr defaultRowHeight="15"/>
  <cols>
    <col min="2" max="2" width="36" customWidth="1"/>
    <col min="3" max="3" width="11.28515625" customWidth="1"/>
    <col min="4" max="4" width="10.28515625" customWidth="1"/>
    <col min="5" max="5" width="14.7109375" style="4" customWidth="1"/>
    <col min="6" max="6" width="12" customWidth="1"/>
    <col min="7" max="7" width="11.85546875" customWidth="1"/>
    <col min="8" max="8" width="15.28515625" customWidth="1"/>
    <col min="9" max="9" width="17.140625" customWidth="1"/>
  </cols>
  <sheetData>
    <row r="3" spans="2:9">
      <c r="B3" t="s">
        <v>335</v>
      </c>
    </row>
    <row r="4" spans="2:9" ht="16.5" thickBot="1">
      <c r="B4" s="202" t="s">
        <v>333</v>
      </c>
      <c r="C4" s="202"/>
      <c r="D4" s="202"/>
      <c r="E4" s="203"/>
      <c r="F4" s="202"/>
      <c r="G4" s="202"/>
    </row>
    <row r="5" spans="2:9" ht="41.45" customHeight="1" thickTop="1">
      <c r="B5" s="209" t="s">
        <v>296</v>
      </c>
      <c r="C5" s="211" t="s">
        <v>297</v>
      </c>
      <c r="D5" s="211"/>
      <c r="E5" s="211" t="s">
        <v>298</v>
      </c>
      <c r="F5" s="211" t="s">
        <v>299</v>
      </c>
      <c r="G5" s="211" t="s">
        <v>300</v>
      </c>
      <c r="H5" s="211" t="s">
        <v>301</v>
      </c>
      <c r="I5" s="212" t="s">
        <v>302</v>
      </c>
    </row>
    <row r="6" spans="2:9" ht="30">
      <c r="B6" s="210"/>
      <c r="C6" s="174" t="s">
        <v>303</v>
      </c>
      <c r="D6" s="174" t="s">
        <v>304</v>
      </c>
      <c r="E6" s="219"/>
      <c r="F6" s="219"/>
      <c r="G6" s="219"/>
      <c r="H6" s="219"/>
      <c r="I6" s="213"/>
    </row>
    <row r="7" spans="2:9" ht="15.75" thickBot="1">
      <c r="B7" s="175" t="s">
        <v>305</v>
      </c>
      <c r="C7" s="176" t="s">
        <v>306</v>
      </c>
      <c r="D7" s="176" t="s">
        <v>307</v>
      </c>
      <c r="E7" s="176" t="s">
        <v>308</v>
      </c>
      <c r="F7" s="176" t="s">
        <v>309</v>
      </c>
      <c r="G7" s="176" t="s">
        <v>310</v>
      </c>
      <c r="H7" s="176" t="s">
        <v>311</v>
      </c>
      <c r="I7" s="177" t="s">
        <v>312</v>
      </c>
    </row>
    <row r="8" spans="2:9" ht="30.75" thickTop="1">
      <c r="B8" s="178" t="s">
        <v>313</v>
      </c>
      <c r="C8" s="179">
        <f>0.9*0.9*21/2*10</f>
        <v>85.050000000000011</v>
      </c>
      <c r="D8" s="180"/>
      <c r="E8" s="179">
        <v>0.5</v>
      </c>
      <c r="F8" s="180">
        <f>C8*E8</f>
        <v>42.525000000000006</v>
      </c>
      <c r="G8" s="181"/>
      <c r="H8" s="214">
        <f>F20/G20</f>
        <v>5.9243349301476922</v>
      </c>
      <c r="I8" s="214">
        <f>(0.65*C20)/D20</f>
        <v>4.3907825069442188</v>
      </c>
    </row>
    <row r="9" spans="2:9" ht="30">
      <c r="B9" s="182" t="s">
        <v>314</v>
      </c>
      <c r="C9" s="183">
        <f xml:space="preserve"> (2*0.9*0.2+1.3*0.2)*21/2*24</f>
        <v>156.24000000000004</v>
      </c>
      <c r="D9" s="184"/>
      <c r="E9" s="183">
        <v>0.5</v>
      </c>
      <c r="F9" s="184">
        <f t="shared" ref="F9:F19" si="0">C9*E9</f>
        <v>78.120000000000019</v>
      </c>
      <c r="G9" s="185"/>
      <c r="H9" s="215"/>
      <c r="I9" s="215"/>
    </row>
    <row r="10" spans="2:9">
      <c r="B10" s="186" t="s">
        <v>315</v>
      </c>
      <c r="C10" s="183">
        <f>(0.8*0.4+0.4*0.25)*24</f>
        <v>10.080000000000002</v>
      </c>
      <c r="D10" s="184"/>
      <c r="E10" s="183">
        <v>0.7</v>
      </c>
      <c r="F10" s="184">
        <f t="shared" si="0"/>
        <v>7.0560000000000009</v>
      </c>
      <c r="G10" s="185"/>
      <c r="H10" s="215"/>
      <c r="I10" s="215"/>
    </row>
    <row r="11" spans="2:9">
      <c r="B11" s="187" t="s">
        <v>316</v>
      </c>
      <c r="C11" s="183">
        <f>4.5*0.8*21</f>
        <v>75.600000000000009</v>
      </c>
      <c r="D11" s="184"/>
      <c r="E11" s="183">
        <v>0.7</v>
      </c>
      <c r="F11" s="184">
        <f t="shared" si="0"/>
        <v>52.92</v>
      </c>
      <c r="G11" s="185"/>
      <c r="H11" s="215"/>
      <c r="I11" s="215"/>
    </row>
    <row r="12" spans="2:9">
      <c r="B12" s="187" t="s">
        <v>317</v>
      </c>
      <c r="C12" s="183">
        <f>4.5*3/2*21</f>
        <v>141.75</v>
      </c>
      <c r="D12" s="184"/>
      <c r="E12" s="183">
        <f>0.3+0.8+3/3</f>
        <v>2.1</v>
      </c>
      <c r="F12" s="184">
        <f t="shared" si="0"/>
        <v>297.67500000000001</v>
      </c>
      <c r="G12" s="185"/>
      <c r="H12" s="215"/>
      <c r="I12" s="215"/>
    </row>
    <row r="13" spans="2:9">
      <c r="B13" s="187" t="s">
        <v>318</v>
      </c>
      <c r="C13" s="183">
        <f>3.3*0.65*20</f>
        <v>42.9</v>
      </c>
      <c r="D13" s="184"/>
      <c r="E13" s="183">
        <f>0.3+0.8+3/2</f>
        <v>2.6</v>
      </c>
      <c r="F13" s="184">
        <f t="shared" si="0"/>
        <v>111.54</v>
      </c>
      <c r="G13" s="185"/>
      <c r="H13" s="215"/>
      <c r="I13" s="215"/>
    </row>
    <row r="14" spans="2:9">
      <c r="B14" s="187" t="s">
        <v>319</v>
      </c>
      <c r="C14" s="183">
        <f>4.5*3/2*20</f>
        <v>135</v>
      </c>
      <c r="D14" s="184"/>
      <c r="E14" s="183">
        <f>0.3+0.8+3*2/3</f>
        <v>3.1</v>
      </c>
      <c r="F14" s="184">
        <f t="shared" si="0"/>
        <v>418.5</v>
      </c>
      <c r="G14" s="185"/>
      <c r="H14" s="215"/>
      <c r="I14" s="215"/>
    </row>
    <row r="15" spans="2:9">
      <c r="B15" s="187" t="s">
        <v>320</v>
      </c>
      <c r="C15" s="183">
        <f>4.5*0.3*20</f>
        <v>26.999999999999996</v>
      </c>
      <c r="D15" s="184"/>
      <c r="E15" s="183">
        <f>4.4-0.15</f>
        <v>4.25</v>
      </c>
      <c r="F15" s="184">
        <f t="shared" si="0"/>
        <v>114.74999999999999</v>
      </c>
      <c r="G15" s="185"/>
      <c r="H15" s="215"/>
      <c r="I15" s="215"/>
    </row>
    <row r="16" spans="2:9">
      <c r="B16" s="187" t="s">
        <v>321</v>
      </c>
      <c r="C16" s="183">
        <f>4.4*0.3*24</f>
        <v>31.68</v>
      </c>
      <c r="D16" s="184"/>
      <c r="E16" s="183">
        <f>4.4/2</f>
        <v>2.2000000000000002</v>
      </c>
      <c r="F16" s="184">
        <f t="shared" si="0"/>
        <v>69.695999999999998</v>
      </c>
      <c r="G16" s="185"/>
      <c r="H16" s="215"/>
      <c r="I16" s="215"/>
    </row>
    <row r="17" spans="2:9">
      <c r="B17" s="187" t="s">
        <v>322</v>
      </c>
      <c r="C17" s="183">
        <f>15*3.3</f>
        <v>49.5</v>
      </c>
      <c r="D17" s="184"/>
      <c r="E17" s="183">
        <f>0.3+0.8+3.3/2</f>
        <v>2.75</v>
      </c>
      <c r="F17" s="184">
        <f t="shared" si="0"/>
        <v>136.125</v>
      </c>
      <c r="G17" s="185"/>
      <c r="H17" s="215"/>
      <c r="I17" s="215"/>
    </row>
    <row r="18" spans="2:9">
      <c r="B18" s="190" t="s">
        <v>324</v>
      </c>
      <c r="C18" s="184"/>
      <c r="D18" s="188">
        <f>0.295*15*5.45</f>
        <v>24.116250000000001</v>
      </c>
      <c r="E18" s="183">
        <v>2.7250000000000001</v>
      </c>
      <c r="F18" s="184">
        <f t="shared" si="0"/>
        <v>0</v>
      </c>
      <c r="G18" s="189">
        <f>D18*E18</f>
        <v>65.716781250000011</v>
      </c>
      <c r="H18" s="215"/>
      <c r="I18" s="215"/>
    </row>
    <row r="19" spans="2:9" ht="15.75" thickBot="1">
      <c r="B19" s="187" t="s">
        <v>323</v>
      </c>
      <c r="C19" s="191"/>
      <c r="D19" s="192">
        <f>0.295*20*5.45*5.45/2</f>
        <v>87.622375000000005</v>
      </c>
      <c r="E19" s="193">
        <v>1.81</v>
      </c>
      <c r="F19" s="191">
        <f t="shared" si="0"/>
        <v>0</v>
      </c>
      <c r="G19" s="194">
        <f>D19*E19</f>
        <v>158.59649875000002</v>
      </c>
      <c r="H19" s="215"/>
      <c r="I19" s="215"/>
    </row>
    <row r="20" spans="2:9" ht="16.5" thickTop="1" thickBot="1">
      <c r="B20" s="195" t="s">
        <v>325</v>
      </c>
      <c r="C20" s="196">
        <f>SUM(C8:C19)</f>
        <v>754.80000000000007</v>
      </c>
      <c r="D20" s="197">
        <f>SUM(D8:D19)</f>
        <v>111.73862500000001</v>
      </c>
      <c r="E20" s="198"/>
      <c r="F20" s="196">
        <f>SUM(F8:F19)</f>
        <v>1328.9069999999999</v>
      </c>
      <c r="G20" s="199">
        <f>SUM(G18:G19)</f>
        <v>224.31328000000002</v>
      </c>
      <c r="H20" s="200" t="str">
        <f>IF(H8&gt;2,"Safe!","Not Safe!")</f>
        <v>Safe!</v>
      </c>
      <c r="I20" s="200" t="str">
        <f>IF(I8&gt;1.5,"Safe!","Not Safe!")</f>
        <v>Safe!</v>
      </c>
    </row>
    <row r="21" spans="2:9" ht="16.5" thickTop="1" thickBot="1">
      <c r="B21" s="201" t="s">
        <v>326</v>
      </c>
      <c r="C21" s="216">
        <f>G20/D20</f>
        <v>2.0074820143884891</v>
      </c>
      <c r="D21" s="216"/>
      <c r="E21" s="216"/>
      <c r="F21" s="216"/>
      <c r="G21" s="216"/>
      <c r="H21" s="216"/>
      <c r="I21" s="217"/>
    </row>
    <row r="22" spans="2:9" ht="16.5" thickTop="1" thickBot="1">
      <c r="B22" s="201" t="s">
        <v>327</v>
      </c>
      <c r="C22" s="216">
        <v>4.4000000000000004</v>
      </c>
      <c r="D22" s="216"/>
      <c r="E22" s="216"/>
      <c r="F22" s="216"/>
      <c r="G22" s="216"/>
      <c r="H22" s="216"/>
      <c r="I22" s="217"/>
    </row>
    <row r="23" spans="2:9" ht="16.5" thickTop="1" thickBot="1">
      <c r="B23" s="201" t="s">
        <v>328</v>
      </c>
      <c r="C23" s="216">
        <f>C22/2-C21</f>
        <v>0.19251798561151112</v>
      </c>
      <c r="D23" s="216"/>
      <c r="E23" s="216"/>
      <c r="F23" s="216"/>
      <c r="G23" s="216"/>
      <c r="H23" s="216"/>
      <c r="I23" s="217"/>
    </row>
    <row r="24" spans="2:9" ht="16.5" thickTop="1" thickBot="1">
      <c r="B24" s="218" t="s">
        <v>329</v>
      </c>
      <c r="C24" s="196" t="s">
        <v>330</v>
      </c>
      <c r="D24" s="207">
        <f>(C20/C22)*(1+6*C23/C22)</f>
        <v>216.58034365895725</v>
      </c>
      <c r="E24" s="207"/>
      <c r="F24" s="207"/>
      <c r="G24" s="207"/>
      <c r="H24" s="207"/>
      <c r="I24" s="208"/>
    </row>
    <row r="25" spans="2:9" ht="34.9" customHeight="1" thickTop="1" thickBot="1">
      <c r="B25" s="218"/>
      <c r="C25" s="196" t="s">
        <v>331</v>
      </c>
      <c r="D25" s="207">
        <f>(C20/C22)*(1-6*C23/C22)</f>
        <v>126.51056543195189</v>
      </c>
      <c r="E25" s="207"/>
      <c r="F25" s="207"/>
      <c r="G25" s="207"/>
      <c r="H25" s="207"/>
      <c r="I25" s="208"/>
    </row>
    <row r="26" spans="2:9" ht="15.75" thickTop="1"/>
    <row r="37" spans="2:9">
      <c r="B37" t="s">
        <v>340</v>
      </c>
    </row>
    <row r="38" spans="2:9" ht="16.5" thickBot="1">
      <c r="B38" s="202" t="s">
        <v>332</v>
      </c>
    </row>
    <row r="39" spans="2:9" ht="15.75" thickTop="1">
      <c r="B39" s="209" t="s">
        <v>296</v>
      </c>
      <c r="C39" s="211" t="s">
        <v>297</v>
      </c>
      <c r="D39" s="211"/>
      <c r="E39" s="211" t="s">
        <v>298</v>
      </c>
      <c r="F39" s="211" t="s">
        <v>299</v>
      </c>
      <c r="G39" s="211" t="s">
        <v>300</v>
      </c>
      <c r="H39" s="211" t="s">
        <v>301</v>
      </c>
      <c r="I39" s="212" t="s">
        <v>302</v>
      </c>
    </row>
    <row r="40" spans="2:9" ht="30">
      <c r="B40" s="210"/>
      <c r="C40" s="174" t="s">
        <v>303</v>
      </c>
      <c r="D40" s="174" t="s">
        <v>304</v>
      </c>
      <c r="E40" s="219"/>
      <c r="F40" s="219"/>
      <c r="G40" s="219"/>
      <c r="H40" s="219"/>
      <c r="I40" s="213"/>
    </row>
    <row r="41" spans="2:9" ht="15.75" thickBot="1">
      <c r="B41" s="175" t="s">
        <v>305</v>
      </c>
      <c r="C41" s="176" t="s">
        <v>306</v>
      </c>
      <c r="D41" s="176" t="s">
        <v>307</v>
      </c>
      <c r="E41" s="176" t="s">
        <v>308</v>
      </c>
      <c r="F41" s="176" t="s">
        <v>309</v>
      </c>
      <c r="G41" s="176" t="s">
        <v>310</v>
      </c>
      <c r="H41" s="176" t="s">
        <v>311</v>
      </c>
      <c r="I41" s="177" t="s">
        <v>312</v>
      </c>
    </row>
    <row r="42" spans="2:9" ht="30.75" thickTop="1">
      <c r="B42" s="178" t="s">
        <v>313</v>
      </c>
      <c r="C42" s="179"/>
      <c r="D42" s="180"/>
      <c r="E42" s="179">
        <v>0.5</v>
      </c>
      <c r="F42" s="180">
        <f>C42*E42</f>
        <v>0</v>
      </c>
      <c r="G42" s="181"/>
      <c r="H42" s="214">
        <f>F54/G54</f>
        <v>5.7347563193761859</v>
      </c>
      <c r="I42" s="214">
        <f>(0.65*C54)/D54</f>
        <v>3.8960341600766966</v>
      </c>
    </row>
    <row r="43" spans="2:9" ht="30">
      <c r="B43" s="182" t="s">
        <v>314</v>
      </c>
      <c r="C43" s="183">
        <f xml:space="preserve"> (2*0.9*0.2+1.3*0.2)*21/2*24</f>
        <v>156.24000000000004</v>
      </c>
      <c r="D43" s="184"/>
      <c r="E43" s="183">
        <v>0.5</v>
      </c>
      <c r="F43" s="184">
        <f t="shared" ref="F43:F53" si="1">C43*E43</f>
        <v>78.120000000000019</v>
      </c>
      <c r="G43" s="185"/>
      <c r="H43" s="215"/>
      <c r="I43" s="215"/>
    </row>
    <row r="44" spans="2:9">
      <c r="B44" s="186" t="s">
        <v>315</v>
      </c>
      <c r="C44" s="183">
        <f>(0.8*0.4+0.4*0.25)*24</f>
        <v>10.080000000000002</v>
      </c>
      <c r="D44" s="184"/>
      <c r="E44" s="183">
        <v>0.7</v>
      </c>
      <c r="F44" s="184">
        <f t="shared" si="1"/>
        <v>7.0560000000000009</v>
      </c>
      <c r="G44" s="185"/>
      <c r="H44" s="215"/>
      <c r="I44" s="215"/>
    </row>
    <row r="45" spans="2:9">
      <c r="B45" s="187" t="s">
        <v>316</v>
      </c>
      <c r="C45" s="183">
        <f>4.5*0.8*21</f>
        <v>75.600000000000009</v>
      </c>
      <c r="D45" s="184"/>
      <c r="E45" s="183">
        <v>0.7</v>
      </c>
      <c r="F45" s="184">
        <f t="shared" si="1"/>
        <v>52.92</v>
      </c>
      <c r="G45" s="185"/>
      <c r="H45" s="215"/>
      <c r="I45" s="215"/>
    </row>
    <row r="46" spans="2:9">
      <c r="B46" s="187" t="s">
        <v>317</v>
      </c>
      <c r="C46" s="183">
        <f>4.5*3/2*21</f>
        <v>141.75</v>
      </c>
      <c r="D46" s="184"/>
      <c r="E46" s="183">
        <f>0.3+0.8+3/3</f>
        <v>2.1</v>
      </c>
      <c r="F46" s="184">
        <f t="shared" si="1"/>
        <v>297.67500000000001</v>
      </c>
      <c r="G46" s="185"/>
      <c r="H46" s="215"/>
      <c r="I46" s="215"/>
    </row>
    <row r="47" spans="2:9">
      <c r="B47" s="187" t="s">
        <v>318</v>
      </c>
      <c r="C47" s="183">
        <f>3.3*0.65*20</f>
        <v>42.9</v>
      </c>
      <c r="D47" s="184"/>
      <c r="E47" s="183">
        <f>0.3+0.8+3/2</f>
        <v>2.6</v>
      </c>
      <c r="F47" s="184">
        <f t="shared" si="1"/>
        <v>111.54</v>
      </c>
      <c r="G47" s="185"/>
      <c r="H47" s="215"/>
      <c r="I47" s="215"/>
    </row>
    <row r="48" spans="2:9">
      <c r="B48" s="187" t="s">
        <v>319</v>
      </c>
      <c r="C48" s="183">
        <f>4.5*3/2*20</f>
        <v>135</v>
      </c>
      <c r="D48" s="184"/>
      <c r="E48" s="183">
        <f>0.3+0.8+3*2/3</f>
        <v>3.1</v>
      </c>
      <c r="F48" s="184">
        <f t="shared" si="1"/>
        <v>418.5</v>
      </c>
      <c r="G48" s="185"/>
      <c r="H48" s="215"/>
      <c r="I48" s="215"/>
    </row>
    <row r="49" spans="1:9">
      <c r="B49" s="187" t="s">
        <v>320</v>
      </c>
      <c r="C49" s="183">
        <f>4.5*0.3*20</f>
        <v>26.999999999999996</v>
      </c>
      <c r="D49" s="184"/>
      <c r="E49" s="183">
        <f>4.4-0.15</f>
        <v>4.25</v>
      </c>
      <c r="F49" s="184">
        <f t="shared" si="1"/>
        <v>114.74999999999999</v>
      </c>
      <c r="G49" s="185"/>
      <c r="H49" s="215"/>
      <c r="I49" s="215"/>
    </row>
    <row r="50" spans="1:9">
      <c r="B50" s="187" t="s">
        <v>321</v>
      </c>
      <c r="C50" s="183">
        <f>4.4*0.3*24</f>
        <v>31.68</v>
      </c>
      <c r="D50" s="184"/>
      <c r="E50" s="183">
        <f>4.4/2</f>
        <v>2.2000000000000002</v>
      </c>
      <c r="F50" s="184">
        <f t="shared" si="1"/>
        <v>69.695999999999998</v>
      </c>
      <c r="G50" s="185"/>
      <c r="H50" s="215"/>
      <c r="I50" s="215"/>
    </row>
    <row r="51" spans="1:9">
      <c r="B51" s="187" t="s">
        <v>322</v>
      </c>
      <c r="C51" s="183">
        <f>15*3.3</f>
        <v>49.5</v>
      </c>
      <c r="D51" s="184"/>
      <c r="E51" s="183">
        <f>0.3+0.8+3.3/2</f>
        <v>2.75</v>
      </c>
      <c r="F51" s="184">
        <f t="shared" si="1"/>
        <v>136.125</v>
      </c>
      <c r="G51" s="185"/>
      <c r="H51" s="215"/>
      <c r="I51" s="215"/>
    </row>
    <row r="52" spans="1:9">
      <c r="B52" s="190" t="s">
        <v>324</v>
      </c>
      <c r="C52" s="184"/>
      <c r="D52" s="188">
        <f>0.295*15*5.45</f>
        <v>24.116250000000001</v>
      </c>
      <c r="E52" s="183">
        <v>2.7250000000000001</v>
      </c>
      <c r="F52" s="184">
        <f t="shared" si="1"/>
        <v>0</v>
      </c>
      <c r="G52" s="189">
        <f>D52*E52</f>
        <v>65.716781250000011</v>
      </c>
      <c r="H52" s="215"/>
      <c r="I52" s="215"/>
    </row>
    <row r="53" spans="1:9" ht="15.75" thickBot="1">
      <c r="B53" s="187" t="s">
        <v>323</v>
      </c>
      <c r="C53" s="191"/>
      <c r="D53" s="192">
        <f>0.295*20*5.45*5.45/2</f>
        <v>87.622375000000005</v>
      </c>
      <c r="E53" s="193">
        <v>1.81</v>
      </c>
      <c r="F53" s="191">
        <f t="shared" si="1"/>
        <v>0</v>
      </c>
      <c r="G53" s="194">
        <f>D53*E53</f>
        <v>158.59649875000002</v>
      </c>
      <c r="H53" s="215"/>
      <c r="I53" s="215"/>
    </row>
    <row r="54" spans="1:9" ht="16.5" thickTop="1" thickBot="1">
      <c r="B54" s="195" t="s">
        <v>325</v>
      </c>
      <c r="C54" s="196">
        <f>SUM(C42:C53)</f>
        <v>669.75</v>
      </c>
      <c r="D54" s="197">
        <f>SUM(D42:D53)</f>
        <v>111.73862500000001</v>
      </c>
      <c r="E54" s="198"/>
      <c r="F54" s="196">
        <f>SUM(F42:F53)</f>
        <v>1286.3819999999998</v>
      </c>
      <c r="G54" s="199">
        <f>SUM(G52:G53)</f>
        <v>224.31328000000002</v>
      </c>
      <c r="H54" s="200" t="str">
        <f>IF(H42&gt;2,"Safe!","Not Safe!")</f>
        <v>Safe!</v>
      </c>
      <c r="I54" s="200" t="str">
        <f>IF(I42&gt;1.5,"Safe!","Not Safe!")</f>
        <v>Safe!</v>
      </c>
    </row>
    <row r="55" spans="1:9" ht="16.5" thickTop="1" thickBot="1">
      <c r="B55" s="201" t="s">
        <v>326</v>
      </c>
      <c r="C55" s="216">
        <f>G54/D54</f>
        <v>2.0074820143884891</v>
      </c>
      <c r="D55" s="216"/>
      <c r="E55" s="216"/>
      <c r="F55" s="216"/>
      <c r="G55" s="216"/>
      <c r="H55" s="216"/>
      <c r="I55" s="217"/>
    </row>
    <row r="56" spans="1:9" ht="16.5" thickTop="1" thickBot="1">
      <c r="B56" s="201" t="s">
        <v>327</v>
      </c>
      <c r="C56" s="216">
        <v>4.4000000000000004</v>
      </c>
      <c r="D56" s="216"/>
      <c r="E56" s="216"/>
      <c r="F56" s="216"/>
      <c r="G56" s="216"/>
      <c r="H56" s="216"/>
      <c r="I56" s="217"/>
    </row>
    <row r="57" spans="1:9" ht="16.5" thickTop="1" thickBot="1">
      <c r="B57" s="201" t="s">
        <v>328</v>
      </c>
      <c r="C57" s="216">
        <f>C56/2-C55</f>
        <v>0.19251798561151112</v>
      </c>
      <c r="D57" s="216"/>
      <c r="E57" s="216"/>
      <c r="F57" s="216"/>
      <c r="G57" s="216"/>
      <c r="H57" s="216"/>
      <c r="I57" s="217"/>
    </row>
    <row r="58" spans="1:9" ht="16.5" thickTop="1" thickBot="1">
      <c r="B58" s="218" t="s">
        <v>329</v>
      </c>
      <c r="C58" s="196" t="s">
        <v>330</v>
      </c>
      <c r="D58" s="207">
        <f>(C54/C56)*(1+6*C57/C56)</f>
        <v>192.17631844937279</v>
      </c>
      <c r="E58" s="207"/>
      <c r="F58" s="207"/>
      <c r="G58" s="207"/>
      <c r="H58" s="207"/>
      <c r="I58" s="208"/>
    </row>
    <row r="59" spans="1:9" ht="34.9" customHeight="1" thickTop="1" thickBot="1">
      <c r="B59" s="218"/>
      <c r="C59" s="196" t="s">
        <v>331</v>
      </c>
      <c r="D59" s="207">
        <f>(C54/C56)*(1-6*C57/C56)</f>
        <v>112.25549973244536</v>
      </c>
      <c r="E59" s="207"/>
      <c r="F59" s="207"/>
      <c r="G59" s="207"/>
      <c r="H59" s="207"/>
      <c r="I59" s="208"/>
    </row>
    <row r="60" spans="1:9" ht="15.75" thickTop="1"/>
    <row r="62" spans="1:9">
      <c r="A62" s="204"/>
      <c r="B62" s="204"/>
    </row>
    <row r="63" spans="1:9">
      <c r="A63" s="204"/>
      <c r="B63" s="204"/>
    </row>
    <row r="64" spans="1:9">
      <c r="A64" s="204"/>
      <c r="B64" s="204"/>
    </row>
  </sheetData>
  <mergeCells count="30">
    <mergeCell ref="C23:I23"/>
    <mergeCell ref="B5:B6"/>
    <mergeCell ref="C5:D5"/>
    <mergeCell ref="E5:E6"/>
    <mergeCell ref="F5:F6"/>
    <mergeCell ref="G5:G6"/>
    <mergeCell ref="H5:H6"/>
    <mergeCell ref="I5:I6"/>
    <mergeCell ref="H8:H19"/>
    <mergeCell ref="I8:I19"/>
    <mergeCell ref="C21:I21"/>
    <mergeCell ref="C22:I22"/>
    <mergeCell ref="B24:B25"/>
    <mergeCell ref="D24:I24"/>
    <mergeCell ref="D25:I25"/>
    <mergeCell ref="E39:E40"/>
    <mergeCell ref="F39:F40"/>
    <mergeCell ref="G39:G40"/>
    <mergeCell ref="H39:H40"/>
    <mergeCell ref="D58:I58"/>
    <mergeCell ref="D59:I59"/>
    <mergeCell ref="B39:B40"/>
    <mergeCell ref="C39:D39"/>
    <mergeCell ref="I39:I40"/>
    <mergeCell ref="I42:I53"/>
    <mergeCell ref="C55:I55"/>
    <mergeCell ref="C56:I56"/>
    <mergeCell ref="H42:H53"/>
    <mergeCell ref="C57:I57"/>
    <mergeCell ref="B58:B59"/>
  </mergeCells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Appendix-A</vt:lpstr>
      <vt:lpstr>Appendix-B</vt:lpstr>
      <vt:lpstr>Appendix-C</vt:lpstr>
      <vt:lpstr>Appendix-D</vt:lpstr>
      <vt:lpstr>Appendix-E</vt:lpstr>
      <vt:lpstr>'Appendix-C'!Print_Area</vt:lpstr>
      <vt:lpstr>'Appendix-D'!Print_Area</vt:lpstr>
      <vt:lpstr>'Appendix-E'!Print_Area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Amanuel</dc:creator>
  <cp:lastModifiedBy>ABC</cp:lastModifiedBy>
  <cp:lastPrinted>2017-01-28T16:56:39Z</cp:lastPrinted>
  <dcterms:created xsi:type="dcterms:W3CDTF">2017-01-24T11:48:16Z</dcterms:created>
  <dcterms:modified xsi:type="dcterms:W3CDTF">2018-08-13T08:08:47Z</dcterms:modified>
</cp:coreProperties>
</file>