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ra\Desktop\SSIP GL after comment\MOANR- SSID Final GLs 2018\GL-14 Spring Dev't Design Template\"/>
    </mc:Choice>
  </mc:AlternateContent>
  <bookViews>
    <workbookView xWindow="120" yWindow="2055" windowWidth="19095" windowHeight="6525" activeTab="3"/>
  </bookViews>
  <sheets>
    <sheet name="HydrologyData" sheetId="11" r:id="rId1"/>
    <sheet name="CWRData" sheetId="9" r:id="rId2"/>
    <sheet name="WaterBudgeting" sheetId="8" r:id="rId3"/>
    <sheet name="Storage req't" sheetId="25" r:id="rId4"/>
  </sheets>
  <calcPr calcId="152511"/>
</workbook>
</file>

<file path=xl/calcChain.xml><?xml version="1.0" encoding="utf-8"?>
<calcChain xmlns="http://schemas.openxmlformats.org/spreadsheetml/2006/main">
  <c r="O29" i="8" l="1"/>
  <c r="B47" i="25" l="1"/>
  <c r="B46" i="25"/>
  <c r="B48" i="25"/>
  <c r="B18" i="25"/>
  <c r="B42" i="25"/>
  <c r="B43" i="25"/>
  <c r="C5" i="25"/>
  <c r="D5" i="25"/>
  <c r="E5" i="25"/>
  <c r="F5" i="25"/>
  <c r="G5" i="25"/>
  <c r="H5" i="25"/>
  <c r="I5" i="25"/>
  <c r="J5" i="25"/>
  <c r="K5" i="25"/>
  <c r="L5" i="25"/>
  <c r="M5" i="25"/>
  <c r="C6" i="25"/>
  <c r="D6" i="25"/>
  <c r="E6" i="25"/>
  <c r="F6" i="25"/>
  <c r="G6" i="25"/>
  <c r="H6" i="25"/>
  <c r="I6" i="25"/>
  <c r="J6" i="25"/>
  <c r="K6" i="25"/>
  <c r="L6" i="25"/>
  <c r="M6" i="25"/>
  <c r="B6" i="25"/>
  <c r="B5" i="25"/>
  <c r="B31" i="25"/>
  <c r="B44" i="25" l="1"/>
  <c r="B37" i="25"/>
  <c r="B49" i="25" s="1"/>
  <c r="B32" i="25"/>
  <c r="B22" i="25"/>
  <c r="B45" i="25" l="1"/>
  <c r="B50" i="25" s="1"/>
  <c r="B51" i="25" s="1"/>
  <c r="B29" i="25"/>
  <c r="B30" i="25"/>
  <c r="B36" i="25" l="1"/>
  <c r="B38" i="25" s="1"/>
  <c r="AL7" i="8"/>
  <c r="AL6" i="8"/>
  <c r="AG8" i="8"/>
  <c r="AE8" i="8"/>
  <c r="AI7" i="8"/>
  <c r="AJ7" i="8" s="1"/>
  <c r="AK7" i="8" s="1"/>
  <c r="AH7" i="8"/>
  <c r="AI6" i="8"/>
  <c r="AJ6" i="8" s="1"/>
  <c r="AJ8" i="8" l="1"/>
  <c r="AK6" i="8"/>
  <c r="AK8" i="8" s="1"/>
  <c r="AH6" i="8"/>
  <c r="C7" i="25" l="1"/>
  <c r="C8" i="25" s="1"/>
  <c r="C9" i="25" s="1"/>
  <c r="G7" i="25"/>
  <c r="G8" i="25" s="1"/>
  <c r="G9" i="25" s="1"/>
  <c r="K7" i="25"/>
  <c r="K8" i="25" s="1"/>
  <c r="K9" i="25" s="1"/>
  <c r="W22" i="9"/>
  <c r="AA22" i="9"/>
  <c r="AE22" i="9"/>
  <c r="W21" i="9"/>
  <c r="AA21" i="9"/>
  <c r="AE21" i="9"/>
  <c r="D7" i="25"/>
  <c r="D8" i="25" s="1"/>
  <c r="D9" i="25" s="1"/>
  <c r="H7" i="25"/>
  <c r="H8" i="25" s="1"/>
  <c r="H9" i="25" s="1"/>
  <c r="L7" i="25"/>
  <c r="L8" i="25" s="1"/>
  <c r="L9" i="25" s="1"/>
  <c r="X22" i="9"/>
  <c r="AB22" i="9"/>
  <c r="AF22" i="9"/>
  <c r="X21" i="9"/>
  <c r="AB21" i="9"/>
  <c r="AF21" i="9"/>
  <c r="E7" i="25"/>
  <c r="E8" i="25" s="1"/>
  <c r="E9" i="25" s="1"/>
  <c r="I7" i="25"/>
  <c r="I8" i="25" s="1"/>
  <c r="I9" i="25" s="1"/>
  <c r="M7" i="25"/>
  <c r="M8" i="25" s="1"/>
  <c r="M9" i="25" s="1"/>
  <c r="Y22" i="9"/>
  <c r="AC22" i="9"/>
  <c r="AG22" i="9"/>
  <c r="Y21" i="9"/>
  <c r="AC21" i="9"/>
  <c r="AG21" i="9"/>
  <c r="F7" i="25"/>
  <c r="F8" i="25" s="1"/>
  <c r="F9" i="25" s="1"/>
  <c r="J7" i="25"/>
  <c r="J8" i="25" s="1"/>
  <c r="J9" i="25" s="1"/>
  <c r="B7" i="25"/>
  <c r="B8" i="25" s="1"/>
  <c r="B9" i="25" s="1"/>
  <c r="Z22" i="9"/>
  <c r="AD22" i="9"/>
  <c r="V22" i="9"/>
  <c r="Z21" i="9"/>
  <c r="AD21" i="9"/>
  <c r="V21" i="9"/>
  <c r="R27" i="8"/>
  <c r="R28" i="8" s="1"/>
  <c r="V27" i="8"/>
  <c r="V28" i="8" s="1"/>
  <c r="Z27" i="8"/>
  <c r="Z28" i="8" s="1"/>
  <c r="S27" i="8"/>
  <c r="S28" i="8" s="1"/>
  <c r="W27" i="8"/>
  <c r="W28" i="8" s="1"/>
  <c r="O27" i="8"/>
  <c r="P27" i="8"/>
  <c r="P28" i="8" s="1"/>
  <c r="T27" i="8"/>
  <c r="T28" i="8" s="1"/>
  <c r="X27" i="8"/>
  <c r="X28" i="8" s="1"/>
  <c r="Q27" i="8"/>
  <c r="Q28" i="8" s="1"/>
  <c r="U27" i="8"/>
  <c r="U28" i="8" s="1"/>
  <c r="Y27" i="8"/>
  <c r="Y28" i="8" s="1"/>
  <c r="AI8" i="8"/>
  <c r="AH8" i="8"/>
  <c r="G10" i="25" l="1"/>
  <c r="AG19" i="9"/>
  <c r="W19" i="9"/>
  <c r="X19" i="9"/>
  <c r="Y19" i="9"/>
  <c r="Z19" i="9"/>
  <c r="AA19" i="9"/>
  <c r="AB19" i="9"/>
  <c r="AC19" i="9"/>
  <c r="AD19" i="9"/>
  <c r="AE19" i="9"/>
  <c r="AF19" i="9"/>
  <c r="V19" i="9"/>
  <c r="V26" i="9" s="1"/>
  <c r="B16" i="25" l="1"/>
  <c r="E11" i="25"/>
  <c r="AS17" i="11"/>
  <c r="B17" i="25" l="1"/>
  <c r="B39" i="25" s="1"/>
  <c r="P21" i="8"/>
  <c r="Q21" i="8"/>
  <c r="R21" i="8"/>
  <c r="S21" i="8"/>
  <c r="T21" i="8"/>
  <c r="U21" i="8"/>
  <c r="V21" i="8"/>
  <c r="W21" i="8"/>
  <c r="X21" i="8"/>
  <c r="Y21" i="8"/>
  <c r="Z21" i="8"/>
  <c r="O21" i="8"/>
  <c r="D8" i="9" l="1"/>
  <c r="AB21" i="8" l="1"/>
  <c r="N21" i="9"/>
  <c r="M21" i="9"/>
  <c r="L21" i="9"/>
  <c r="K21" i="9"/>
  <c r="J21" i="9"/>
  <c r="I21" i="9"/>
  <c r="H21" i="9"/>
  <c r="G21" i="9"/>
  <c r="F21" i="9"/>
  <c r="E21" i="9"/>
  <c r="D21" i="9"/>
  <c r="C21" i="9"/>
  <c r="AA21" i="8" l="1"/>
  <c r="O17" i="9"/>
  <c r="D22" i="9"/>
  <c r="Z31" i="11"/>
  <c r="Y31" i="11"/>
  <c r="X31" i="11"/>
  <c r="W31" i="11"/>
  <c r="W30" i="11"/>
  <c r="Z29" i="11"/>
  <c r="Y29" i="11"/>
  <c r="X29" i="11"/>
  <c r="W29" i="11"/>
  <c r="Z28" i="11"/>
  <c r="Y28" i="11"/>
  <c r="X28" i="11"/>
  <c r="W28" i="11"/>
  <c r="Z27" i="11"/>
  <c r="Y27" i="11"/>
  <c r="X27" i="11"/>
  <c r="W27" i="11"/>
  <c r="Z26" i="11"/>
  <c r="Y26" i="11"/>
  <c r="X26" i="11"/>
  <c r="W26" i="11"/>
  <c r="Z25" i="11"/>
  <c r="Y25" i="11"/>
  <c r="X25" i="11"/>
  <c r="W25" i="11"/>
  <c r="Z24" i="11"/>
  <c r="Y24" i="11"/>
  <c r="X24" i="11"/>
  <c r="W24" i="11"/>
  <c r="Z23" i="11"/>
  <c r="Y23" i="11"/>
  <c r="X23" i="11"/>
  <c r="W23" i="11"/>
  <c r="Z22" i="11"/>
  <c r="Y22" i="11"/>
  <c r="X22" i="11"/>
  <c r="W22" i="11"/>
  <c r="Z21" i="11"/>
  <c r="Y21" i="11"/>
  <c r="X21" i="11"/>
  <c r="W21" i="11"/>
  <c r="Z20" i="11"/>
  <c r="Y20" i="11"/>
  <c r="X20" i="11"/>
  <c r="W20" i="11"/>
  <c r="Z16" i="11"/>
  <c r="Y16" i="11"/>
  <c r="X16" i="11"/>
  <c r="W16" i="11"/>
  <c r="Z15" i="11"/>
  <c r="Y15" i="11"/>
  <c r="AD30" i="11" s="1"/>
  <c r="X15" i="11"/>
  <c r="W15" i="11"/>
  <c r="Z14" i="11"/>
  <c r="Y14" i="11"/>
  <c r="AD29" i="11" s="1"/>
  <c r="X14" i="11"/>
  <c r="W14" i="11"/>
  <c r="Z13" i="11"/>
  <c r="Y13" i="11"/>
  <c r="AD28" i="11" s="1"/>
  <c r="X13" i="11"/>
  <c r="W13" i="11"/>
  <c r="Z12" i="11"/>
  <c r="Y12" i="11"/>
  <c r="AD27" i="11" s="1"/>
  <c r="X12" i="11"/>
  <c r="W12" i="11"/>
  <c r="Z11" i="11"/>
  <c r="Y11" i="11"/>
  <c r="AD26" i="11" s="1"/>
  <c r="X11" i="11"/>
  <c r="W11" i="11"/>
  <c r="Z10" i="11"/>
  <c r="Y10" i="11"/>
  <c r="AD25" i="11" s="1"/>
  <c r="X10" i="11"/>
  <c r="W10" i="11"/>
  <c r="Z9" i="11"/>
  <c r="Y9" i="11"/>
  <c r="AD24" i="11" s="1"/>
  <c r="X9" i="11"/>
  <c r="W9" i="11"/>
  <c r="Z8" i="11"/>
  <c r="Y8" i="11"/>
  <c r="AD23" i="11" s="1"/>
  <c r="X8" i="11"/>
  <c r="W8" i="11"/>
  <c r="Z7" i="11"/>
  <c r="Y7" i="11"/>
  <c r="AD22" i="11" s="1"/>
  <c r="X7" i="11"/>
  <c r="W7" i="11"/>
  <c r="Z6" i="11"/>
  <c r="Y6" i="11"/>
  <c r="AD21" i="11" s="1"/>
  <c r="X6" i="11"/>
  <c r="W6" i="11"/>
  <c r="Z5" i="11"/>
  <c r="Y5" i="11"/>
  <c r="X5" i="11"/>
  <c r="W5" i="11"/>
  <c r="Y17" i="11" l="1"/>
  <c r="AD20" i="11"/>
  <c r="AD31" i="11"/>
  <c r="Y32" i="11"/>
  <c r="E22" i="9"/>
  <c r="F22" i="9"/>
  <c r="G22" i="9"/>
  <c r="H22" i="9"/>
  <c r="I22" i="9"/>
  <c r="J22" i="9"/>
  <c r="K22" i="9"/>
  <c r="L22" i="9"/>
  <c r="M22" i="9"/>
  <c r="N22" i="9"/>
  <c r="C22" i="9"/>
  <c r="N24" i="11"/>
  <c r="D25" i="9" l="1"/>
  <c r="D26" i="9" s="1"/>
  <c r="E25" i="9"/>
  <c r="E26" i="9" s="1"/>
  <c r="F25" i="9"/>
  <c r="F26" i="9" s="1"/>
  <c r="G25" i="9"/>
  <c r="G26" i="9" s="1"/>
  <c r="H25" i="9"/>
  <c r="H26" i="9" s="1"/>
  <c r="I25" i="9"/>
  <c r="I26" i="9" s="1"/>
  <c r="J25" i="9"/>
  <c r="J26" i="9" s="1"/>
  <c r="K25" i="9"/>
  <c r="K26" i="9" s="1"/>
  <c r="L25" i="9"/>
  <c r="L26" i="9" s="1"/>
  <c r="M25" i="9"/>
  <c r="M26" i="9" s="1"/>
  <c r="N25" i="9"/>
  <c r="N26" i="9" s="1"/>
  <c r="C25" i="9"/>
  <c r="C26" i="9" s="1"/>
  <c r="O4" i="9" l="1"/>
  <c r="O23" i="9" l="1"/>
  <c r="O25" i="9"/>
  <c r="O22" i="9"/>
  <c r="O21" i="9"/>
  <c r="D5" i="9"/>
  <c r="E5" i="9"/>
  <c r="F5" i="9"/>
  <c r="G5" i="9"/>
  <c r="H5" i="9"/>
  <c r="I5" i="9"/>
  <c r="J5" i="9"/>
  <c r="K5" i="9"/>
  <c r="L5" i="9"/>
  <c r="M5" i="9"/>
  <c r="N5" i="9"/>
  <c r="C5" i="9"/>
  <c r="D8" i="8" l="1"/>
  <c r="D13" i="8"/>
  <c r="R9" i="8"/>
  <c r="D10" i="8"/>
  <c r="D12" i="8" s="1"/>
  <c r="H6" i="8"/>
  <c r="G6" i="8"/>
  <c r="F6" i="8"/>
  <c r="E6" i="8"/>
  <c r="E7" i="8"/>
  <c r="F7" i="8" s="1"/>
  <c r="G7" i="8" s="1"/>
  <c r="H7" i="8" s="1"/>
  <c r="H13" i="8" s="1"/>
  <c r="O28" i="8" l="1"/>
  <c r="F8" i="8"/>
  <c r="H8" i="8"/>
  <c r="D11" i="8"/>
  <c r="D14" i="8" s="1"/>
  <c r="D15" i="8" s="1"/>
  <c r="D16" i="8" s="1"/>
  <c r="E8" i="8"/>
  <c r="G8" i="8"/>
  <c r="F10" i="8"/>
  <c r="H10" i="8"/>
  <c r="G13" i="8"/>
  <c r="E13" i="8"/>
  <c r="E10" i="8"/>
  <c r="G10" i="8"/>
  <c r="F13" i="8"/>
  <c r="AH21" i="9" l="1"/>
  <c r="AH22" i="9"/>
  <c r="D20" i="8"/>
  <c r="D21" i="8" s="1"/>
  <c r="D23" i="8" s="1"/>
  <c r="D18" i="8"/>
  <c r="E11" i="8"/>
  <c r="E12" i="8"/>
  <c r="F12" i="8"/>
  <c r="F11" i="8"/>
  <c r="G11" i="8"/>
  <c r="G12" i="8"/>
  <c r="H12" i="8"/>
  <c r="H11" i="8"/>
  <c r="D17" i="8"/>
  <c r="E14" i="8" l="1"/>
  <c r="E15" i="8" s="1"/>
  <c r="E16" i="8" s="1"/>
  <c r="E20" i="8" s="1"/>
  <c r="E21" i="8" s="1"/>
  <c r="E23" i="8" s="1"/>
  <c r="H14" i="8"/>
  <c r="H15" i="8" s="1"/>
  <c r="H16" i="8" s="1"/>
  <c r="H18" i="8" s="1"/>
  <c r="F14" i="8"/>
  <c r="F15" i="8" s="1"/>
  <c r="F16" i="8" s="1"/>
  <c r="F17" i="8" s="1"/>
  <c r="G14" i="8"/>
  <c r="G15" i="8" s="1"/>
  <c r="G16" i="8" s="1"/>
  <c r="E17" i="8" l="1"/>
  <c r="E18" i="8"/>
  <c r="F18" i="8"/>
  <c r="H17" i="8"/>
  <c r="H20" i="8"/>
  <c r="H21" i="8" s="1"/>
  <c r="H23" i="8" s="1"/>
  <c r="F20" i="8"/>
  <c r="F21" i="8" s="1"/>
  <c r="F23" i="8" s="1"/>
  <c r="G17" i="8"/>
  <c r="G20" i="8"/>
  <c r="G21" i="8" s="1"/>
  <c r="G23" i="8" s="1"/>
  <c r="G18" i="8"/>
  <c r="O20" i="8" l="1"/>
  <c r="Q20" i="8"/>
  <c r="S20" i="8"/>
  <c r="U20" i="8"/>
  <c r="W20" i="8"/>
  <c r="Y20" i="8"/>
  <c r="P20" i="8"/>
  <c r="R20" i="8"/>
  <c r="T20" i="8"/>
  <c r="V20" i="8"/>
  <c r="X20" i="8"/>
  <c r="Z20" i="8"/>
  <c r="V22" i="8" l="1"/>
  <c r="V29" i="8"/>
  <c r="Y22" i="8"/>
  <c r="Y29" i="8"/>
  <c r="Q22" i="8"/>
  <c r="Q29" i="8"/>
  <c r="T22" i="8"/>
  <c r="T29" i="8"/>
  <c r="W22" i="8"/>
  <c r="W29" i="8"/>
  <c r="Z22" i="8"/>
  <c r="Z29" i="8"/>
  <c r="R22" i="8"/>
  <c r="R29" i="8"/>
  <c r="U22" i="8"/>
  <c r="U29" i="8"/>
  <c r="X22" i="8"/>
  <c r="X29" i="8"/>
  <c r="P22" i="8"/>
  <c r="P29" i="8"/>
  <c r="AB29" i="8" s="1"/>
  <c r="S22" i="8"/>
  <c r="S29" i="8"/>
  <c r="Z23" i="8"/>
  <c r="V23" i="8"/>
  <c r="V30" i="8" s="1"/>
  <c r="R23" i="8"/>
  <c r="Y23" i="8"/>
  <c r="U23" i="8"/>
  <c r="Q23" i="8"/>
  <c r="Q30" i="8" s="1"/>
  <c r="X23" i="8"/>
  <c r="T23" i="8"/>
  <c r="P23" i="8"/>
  <c r="W23" i="8"/>
  <c r="W30" i="8" s="1"/>
  <c r="S23" i="8"/>
  <c r="AB20" i="8"/>
  <c r="AA20" i="8"/>
  <c r="AA22" i="8" s="1"/>
  <c r="AA23" i="8" s="1"/>
  <c r="O22" i="8"/>
  <c r="P30" i="8" l="1"/>
  <c r="U30" i="8"/>
  <c r="Z30" i="8"/>
  <c r="T30" i="8"/>
  <c r="Y30" i="8"/>
  <c r="S30" i="8"/>
  <c r="X30" i="8"/>
  <c r="R30" i="8"/>
  <c r="Y24" i="8"/>
  <c r="AF23" i="9"/>
  <c r="P24" i="8"/>
  <c r="W23" i="9"/>
  <c r="R24" i="8"/>
  <c r="Y23" i="9"/>
  <c r="W24" i="8"/>
  <c r="AD23" i="9"/>
  <c r="T24" i="8"/>
  <c r="AA23" i="9"/>
  <c r="Q24" i="8"/>
  <c r="X23" i="9"/>
  <c r="V24" i="8"/>
  <c r="AC23" i="9"/>
  <c r="S24" i="8"/>
  <c r="Z23" i="9"/>
  <c r="X24" i="8"/>
  <c r="AE23" i="9"/>
  <c r="U24" i="8"/>
  <c r="AB23" i="9"/>
  <c r="Z24" i="8"/>
  <c r="AG23" i="9"/>
  <c r="AB22" i="8"/>
  <c r="O23" i="8"/>
  <c r="O30" i="8" s="1"/>
  <c r="AB30" i="8" l="1"/>
  <c r="AB23" i="8"/>
  <c r="V23" i="9"/>
  <c r="AH23" i="9" s="1"/>
  <c r="O24" i="8"/>
  <c r="AB24" i="8" l="1"/>
  <c r="AA24" i="8"/>
  <c r="G10" i="9" l="1"/>
  <c r="G11" i="9" s="1"/>
  <c r="D10" i="9"/>
  <c r="D11" i="9" s="1"/>
  <c r="K10" i="9"/>
  <c r="K11" i="9" s="1"/>
  <c r="I10" i="9"/>
  <c r="I11" i="9" s="1"/>
</calcChain>
</file>

<file path=xl/comments1.xml><?xml version="1.0" encoding="utf-8"?>
<comments xmlns="http://schemas.openxmlformats.org/spreadsheetml/2006/main">
  <authors>
    <author>AberaChala</author>
    <author>use</author>
  </authors>
  <commentList>
    <comment ref="AI5" authorId="0" shapeId="0">
      <text>
        <r>
          <rPr>
            <b/>
            <sz val="9"/>
            <color indexed="81"/>
            <rFont val="Tahoma"/>
            <family val="2"/>
          </rPr>
          <t>AberaChala:</t>
        </r>
        <r>
          <rPr>
            <sz val="9"/>
            <color indexed="81"/>
            <rFont val="Tahoma"/>
            <family val="2"/>
          </rPr>
          <t xml:space="preserve">
3% is expected to be taken by infrastructures</t>
        </r>
      </text>
    </comment>
    <comment ref="D10" authorId="1" shapeId="0">
      <text>
        <r>
          <rPr>
            <b/>
            <sz val="8"/>
            <color indexed="81"/>
            <rFont val="Tahoma"/>
            <family val="2"/>
          </rPr>
          <t>use:</t>
        </r>
        <r>
          <rPr>
            <sz val="8"/>
            <color indexed="81"/>
            <rFont val="Tahoma"/>
            <family val="2"/>
          </rPr>
          <t xml:space="preserve">
Demand is assumed to be 20 l/s/d  for the 1st two years, 23 l/s/d for next 2yrs &amp; 25l/s/d for last yrs. adopted from Yirga Alem design criteria</t>
        </r>
      </text>
    </comment>
    <comment ref="D11" authorId="1" shapeId="0">
      <text>
        <r>
          <rPr>
            <b/>
            <sz val="8"/>
            <color indexed="81"/>
            <rFont val="Tahoma"/>
            <family val="2"/>
          </rPr>
          <t>use:</t>
        </r>
        <r>
          <rPr>
            <sz val="8"/>
            <color indexed="81"/>
            <rFont val="Tahoma"/>
            <family val="2"/>
          </rPr>
          <t xml:space="preserve">
15% of the domestic Domestic demand</t>
        </r>
      </text>
    </comment>
    <comment ref="D13" authorId="1" shapeId="0">
      <text>
        <r>
          <rPr>
            <b/>
            <sz val="8"/>
            <color indexed="81"/>
            <rFont val="Tahoma"/>
            <family val="2"/>
          </rPr>
          <t>use:</t>
        </r>
        <r>
          <rPr>
            <sz val="8"/>
            <color indexed="81"/>
            <rFont val="Tahoma"/>
            <family val="2"/>
          </rPr>
          <t xml:space="preserve">
Demand is assumed to be 20 l/s/d  for the 1st two years, 23 l/s/d for next 2yrs &amp; 25l/s/d for last yrs. adopted from Yirga Alem design criteria</t>
        </r>
      </text>
    </comment>
    <comment ref="D15" authorId="1" shapeId="0">
      <text>
        <r>
          <rPr>
            <b/>
            <sz val="8"/>
            <color indexed="81"/>
            <rFont val="Tahoma"/>
            <family val="2"/>
          </rPr>
          <t>use:</t>
        </r>
        <r>
          <rPr>
            <sz val="8"/>
            <color indexed="81"/>
            <rFont val="Tahoma"/>
            <family val="2"/>
          </rPr>
          <t xml:space="preserve">
10% of the domestic Domestic demand</t>
        </r>
      </text>
    </comment>
  </commentList>
</comments>
</file>

<file path=xl/sharedStrings.xml><?xml version="1.0" encoding="utf-8"?>
<sst xmlns="http://schemas.openxmlformats.org/spreadsheetml/2006/main" count="490" uniqueCount="267">
  <si>
    <t xml:space="preserve"> </t>
  </si>
  <si>
    <t>Description</t>
  </si>
  <si>
    <t>Unit</t>
  </si>
  <si>
    <t>Population to be served</t>
  </si>
  <si>
    <t>Demand</t>
  </si>
  <si>
    <t>Rural Domestic demand</t>
  </si>
  <si>
    <t>Public Demand</t>
  </si>
  <si>
    <t>Sub Total of daily demand</t>
  </si>
  <si>
    <t>Total average daily demand</t>
  </si>
  <si>
    <t>r = Growth rate (%)</t>
  </si>
  <si>
    <t>l/s</t>
  </si>
  <si>
    <t>Average per capita demand</t>
  </si>
  <si>
    <t>l/c/d</t>
  </si>
  <si>
    <t>Maximum daily factor</t>
  </si>
  <si>
    <t>Peak hour factor</t>
  </si>
  <si>
    <t>Maximum daily demand</t>
  </si>
  <si>
    <t>Maximum daily flow</t>
  </si>
  <si>
    <t>Assumption: 1. Water demand is proportional to population growth</t>
  </si>
  <si>
    <t>Livestock</t>
  </si>
  <si>
    <t>Livestock Population</t>
  </si>
  <si>
    <t xml:space="preserve">                   3. Design Period is 20 years</t>
  </si>
  <si>
    <r>
      <t>P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 Initial population</t>
    </r>
  </si>
  <si>
    <r>
      <t>P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>= Future population after n decades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</si>
  <si>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</t>
    </r>
  </si>
  <si>
    <t xml:space="preserve">                   2. Growth Rate is 2.5% per annum</t>
  </si>
  <si>
    <t>Livestock type</t>
  </si>
  <si>
    <t>Weight  (kg)</t>
  </si>
  <si>
    <t>Cattle</t>
  </si>
  <si>
    <t>Sheep</t>
  </si>
  <si>
    <t>Goats</t>
  </si>
  <si>
    <t>Equines</t>
  </si>
  <si>
    <t>Livestock Demand</t>
  </si>
  <si>
    <t>Avg.</t>
  </si>
  <si>
    <t>Sub Total</t>
  </si>
  <si>
    <t>Nr</t>
  </si>
  <si>
    <t>SN</t>
  </si>
  <si>
    <t xml:space="preserve">                   4. Institutional Demand is taken 15% of Domestic demand; </t>
  </si>
  <si>
    <t xml:space="preserve">                   5. Public Demand is taken 3% of Domestic demand</t>
  </si>
  <si>
    <t xml:space="preserve">                   6. Demand is assumed to be 20 l/s/d  for the 1st ten years, 23 l/s/d for next 10yrs &amp; 25l/s/d for last years</t>
  </si>
  <si>
    <t>Domestic</t>
  </si>
  <si>
    <t>Public</t>
  </si>
  <si>
    <t>Unexpected d/s release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</si>
  <si>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</si>
  <si>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</si>
  <si>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</si>
  <si>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</si>
  <si>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</si>
  <si>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</si>
  <si>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</si>
  <si>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</si>
  <si>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</si>
  <si>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</si>
  <si>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</si>
  <si>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</si>
  <si>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For planning purposes (lit)</t>
  </si>
  <si>
    <t>Maximum (lit)</t>
  </si>
  <si>
    <t>Mean (lit)</t>
  </si>
  <si>
    <t>D/s release</t>
  </si>
  <si>
    <t>Location</t>
  </si>
  <si>
    <t>Command Area (ha)</t>
  </si>
  <si>
    <t>Net</t>
  </si>
  <si>
    <t>Right Bank</t>
  </si>
  <si>
    <t>Left Bank</t>
  </si>
  <si>
    <t>Subtotal</t>
  </si>
  <si>
    <t>Required Q, l/s</t>
  </si>
  <si>
    <t>Command Area</t>
  </si>
  <si>
    <t>S/N</t>
  </si>
  <si>
    <t>Total/Avg</t>
  </si>
  <si>
    <t>Surface irrigated</t>
  </si>
  <si>
    <t>In mm/month</t>
  </si>
  <si>
    <t>In mm/Day</t>
  </si>
  <si>
    <t>Nr. of Days in a Month</t>
  </si>
  <si>
    <t>24 hr design duty, l/s/ha=</t>
  </si>
  <si>
    <t>Months</t>
  </si>
  <si>
    <t>Total</t>
  </si>
  <si>
    <t>Mean Monthly RF (mm)</t>
  </si>
  <si>
    <t>Annual</t>
  </si>
  <si>
    <t>Table: Mean Monthly Rainfall (mm) of Burka Station</t>
  </si>
  <si>
    <t>Yr/Month</t>
  </si>
  <si>
    <t>Measured BL Spring Discharge (l/s) =</t>
  </si>
  <si>
    <t>l/s, As of July 6th 2012</t>
  </si>
  <si>
    <t>Table: Monthly Rainfall at Burka</t>
  </si>
  <si>
    <t>Month</t>
  </si>
  <si>
    <t>RF (mm)</t>
  </si>
  <si>
    <t>LONG</t>
  </si>
  <si>
    <t>LAT</t>
  </si>
  <si>
    <t>Elevation</t>
  </si>
  <si>
    <t>ALT(m)</t>
  </si>
  <si>
    <t>Babile</t>
  </si>
  <si>
    <t>Girawa</t>
  </si>
  <si>
    <t>Harar</t>
  </si>
  <si>
    <t>R2</t>
  </si>
  <si>
    <t>Burka</t>
  </si>
  <si>
    <t>HT</t>
  </si>
  <si>
    <t>BL</t>
  </si>
  <si>
    <t>UG</t>
  </si>
  <si>
    <t>31.004-0.0093*Elevation</t>
  </si>
  <si>
    <t>28.958-0.008*Elevation</t>
  </si>
  <si>
    <t>29.901-0.008*Elevation</t>
  </si>
  <si>
    <t>28.321-0.0072*Elevation</t>
  </si>
  <si>
    <t>27.458-0.0069*Elevation</t>
  </si>
  <si>
    <t>24.68-0.0058*Elevation</t>
  </si>
  <si>
    <t>24.945-0.006*Elevation</t>
  </si>
  <si>
    <t>25.179-0.0061*Elevation</t>
  </si>
  <si>
    <t>23.339-0.0052*Elevation</t>
  </si>
  <si>
    <t>23.229-0.0057*Elevation</t>
  </si>
  <si>
    <t>23.229-0.0059*Elevation</t>
  </si>
  <si>
    <t>29.928-0.0089*Elevation</t>
  </si>
  <si>
    <t>43.421-0.0091*Elevation</t>
  </si>
  <si>
    <t>43.388-0.0087*Elevation</t>
  </si>
  <si>
    <t>43.166-0.0086*Elevation</t>
  </si>
  <si>
    <t>43.421-0.0093*Elevation</t>
  </si>
  <si>
    <t>38.267-0.007*Elevation</t>
  </si>
  <si>
    <t>36.706-0.0065*Elevation</t>
  </si>
  <si>
    <t>40.408-0.0081*Elevation</t>
  </si>
  <si>
    <t>37.4-0.0066*Elevation</t>
  </si>
  <si>
    <t>42.356-0.0088*Elevation</t>
  </si>
  <si>
    <t>50.009-0.0121*Elevation</t>
  </si>
  <si>
    <t>43.365-0.0093*Elevation</t>
  </si>
  <si>
    <t>Min Temp</t>
  </si>
  <si>
    <t>Max Temp</t>
  </si>
  <si>
    <t>Humidity</t>
  </si>
  <si>
    <t>Wind</t>
  </si>
  <si>
    <t>Sun</t>
  </si>
  <si>
    <t>Rad</t>
  </si>
  <si>
    <t>ETo</t>
  </si>
  <si>
    <t>°C</t>
  </si>
  <si>
    <t>%</t>
  </si>
  <si>
    <t>km/day</t>
  </si>
  <si>
    <t>hours</t>
  </si>
  <si>
    <t>MJ/m?/day</t>
  </si>
  <si>
    <t>mm/day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</si>
  <si>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</si>
  <si>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</si>
  <si>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</si>
  <si>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</si>
  <si>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</si>
  <si>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</si>
  <si>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</si>
  <si>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</si>
  <si>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</si>
  <si>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</si>
  <si>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</si>
  <si>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</si>
  <si>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MJ/m²/day</t>
  </si>
  <si>
    <t xml:space="preserve"> Effective RF (mm)</t>
  </si>
  <si>
    <t>ETo (mm)</t>
  </si>
  <si>
    <t>Overall IWR</t>
  </si>
  <si>
    <r>
      <t xml:space="preserve">montly Daily ETo </t>
    </r>
    <r>
      <rPr>
        <sz val="11"/>
        <color rgb="FFFF0000"/>
        <rFont val="Calibri"/>
        <family val="2"/>
        <scheme val="minor"/>
      </rPr>
      <t>Hargeti</t>
    </r>
    <r>
      <rPr>
        <sz val="11"/>
        <color theme="1"/>
        <rFont val="Calibri"/>
        <family val="2"/>
        <scheme val="minor"/>
      </rPr>
      <t xml:space="preserve"> Tirtiro</t>
    </r>
  </si>
  <si>
    <r>
      <t xml:space="preserve">montly Daily ETo </t>
    </r>
    <r>
      <rPr>
        <sz val="11"/>
        <color rgb="FFFF0000"/>
        <rFont val="Calibri"/>
        <family val="2"/>
        <scheme val="minor"/>
      </rPr>
      <t>Bereda Lencha</t>
    </r>
  </si>
  <si>
    <r>
      <t xml:space="preserve">REVISED </t>
    </r>
    <r>
      <rPr>
        <sz val="11"/>
        <color rgb="FFFF0000"/>
        <rFont val="Calibri"/>
        <family val="2"/>
        <scheme val="minor"/>
      </rPr>
      <t>Bereda Lencha</t>
    </r>
  </si>
  <si>
    <r>
      <t xml:space="preserve">montly Daily ETo </t>
    </r>
    <r>
      <rPr>
        <sz val="11"/>
        <color rgb="FFFF0000"/>
        <rFont val="Calibri"/>
        <family val="2"/>
        <scheme val="minor"/>
      </rPr>
      <t>Ula Geneta</t>
    </r>
  </si>
  <si>
    <t xml:space="preserve">                   7. Measured discharge is assumed available for all the days of a year, i.e. 198 l/s can be obtained every day</t>
  </si>
  <si>
    <t>Demand &amp; Supply</t>
  </si>
  <si>
    <t>or in (l/s)</t>
  </si>
  <si>
    <t>Table : Average Irrigation Water Requirement for all irrigated area</t>
  </si>
  <si>
    <t>Overall NIR (mm/Day)</t>
  </si>
  <si>
    <t>ha</t>
  </si>
  <si>
    <t xml:space="preserve">With this duty, A=Q/q = </t>
  </si>
  <si>
    <t>Avg</t>
  </si>
  <si>
    <t>Overall Peak hour Demand</t>
  </si>
  <si>
    <t>Infrastructures 3%</t>
  </si>
  <si>
    <t>net</t>
  </si>
  <si>
    <t>gross</t>
  </si>
  <si>
    <t>Gross Area (Ha)</t>
  </si>
  <si>
    <r>
      <t>ETo</t>
    </r>
    <r>
      <rPr>
        <vertAlign val="subscript"/>
        <sz val="10"/>
        <color theme="1"/>
        <rFont val="Arial"/>
        <family val="2"/>
      </rPr>
      <t>avg</t>
    </r>
  </si>
  <si>
    <t>Precipitation deficit</t>
  </si>
  <si>
    <t xml:space="preserve">1. MAIZE  (Grain)    </t>
  </si>
  <si>
    <t xml:space="preserve">2. Chat              </t>
  </si>
  <si>
    <t xml:space="preserve">3. BANANA 1st year   </t>
  </si>
  <si>
    <t xml:space="preserve">4. Onion             </t>
  </si>
  <si>
    <t xml:space="preserve">5. Tomato            </t>
  </si>
  <si>
    <t xml:space="preserve">6. Haricot bea R     </t>
  </si>
  <si>
    <t xml:space="preserve">7. MAIZE Rain        </t>
  </si>
  <si>
    <t>Net scheme irr.req.</t>
  </si>
  <si>
    <t>in mm/day</t>
  </si>
  <si>
    <t>in mm/month</t>
  </si>
  <si>
    <t>Rural Population</t>
  </si>
  <si>
    <t>Rain</t>
  </si>
  <si>
    <t>Eff. rain</t>
  </si>
  <si>
    <t>mm</t>
  </si>
  <si>
    <t>Measured discharge =</t>
  </si>
  <si>
    <t xml:space="preserve"> Percent Distribution</t>
  </si>
  <si>
    <t>min =</t>
  </si>
  <si>
    <t>max =</t>
  </si>
  <si>
    <t>Irrigated area (% of total area)</t>
  </si>
  <si>
    <t>in l/s/ha</t>
  </si>
  <si>
    <t>Irr.req. for actual area (l/s/ha)</t>
  </si>
  <si>
    <t>Irr. Demand, Q (m3/s)</t>
  </si>
  <si>
    <t>Actual Demand Mm3/month</t>
  </si>
  <si>
    <t>total/annum</t>
  </si>
  <si>
    <t>Peak Demand Mm3/month</t>
  </si>
  <si>
    <t>75% of avail. Flow Mm3/month</t>
  </si>
  <si>
    <t>t=</t>
  </si>
  <si>
    <t>Studied Potential Area (ha)</t>
  </si>
  <si>
    <t>Allowance for reliability=</t>
  </si>
  <si>
    <t>Total Demand (Mm3)</t>
  </si>
  <si>
    <t>Spring supply (base flow, Mm3)</t>
  </si>
  <si>
    <t>Water available for irr. (Mm3)</t>
  </si>
  <si>
    <r>
      <rPr>
        <sz val="10"/>
        <color theme="1"/>
        <rFont val="Symbol"/>
        <family val="1"/>
        <charset val="2"/>
      </rPr>
      <t>\</t>
    </r>
    <r>
      <rPr>
        <sz val="10"/>
        <color theme="1"/>
        <rFont val="Arial"/>
        <family val="2"/>
      </rPr>
      <t xml:space="preserve">  Taking 75% for irrigation</t>
    </r>
  </si>
  <si>
    <t>Duty (l/s/ha for 24hr)</t>
  </si>
  <si>
    <t>%Area to be irrigated</t>
  </si>
  <si>
    <t>Actual Area to be irrigated (ha)</t>
  </si>
  <si>
    <t>(hr/day)</t>
  </si>
  <si>
    <t>Required irr. flow to be stored, Q (l/s)</t>
  </si>
  <si>
    <r>
      <t>Storage Requirement for 12hr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</si>
  <si>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 xml:space="preserve">Including dead storage of 20% gives peak storage capacity, (m3)= </t>
  </si>
  <si>
    <t xml:space="preserve">Thus, design value for determining of 12hr storage per day i.e. peak capacity, (m3)= </t>
  </si>
  <si>
    <r>
      <t>Table: Storage Requirement 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</si>
  <si>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 xml:space="preserve">Assume a square inverted frustum shape </t>
  </si>
  <si>
    <t xml:space="preserve">Internal side slope of Storage, m (H: V ) </t>
  </si>
  <si>
    <t xml:space="preserve">External side slope of Storage, m (H: V ) </t>
  </si>
  <si>
    <t xml:space="preserve">Bottom width of Storage, w </t>
  </si>
  <si>
    <t xml:space="preserve">Bottom length of Storage, l </t>
  </si>
  <si>
    <t>Designed capacity of the storage</t>
  </si>
  <si>
    <t>Proposed length and width of Storage</t>
  </si>
  <si>
    <r>
      <t>Where, V=Volume of the pond,m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</si>
  <si>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r>
      <t>V</t>
    </r>
    <r>
      <rPr>
        <vertAlign val="subscript"/>
        <sz val="11"/>
        <color theme="1"/>
        <rFont val="Calibri"/>
        <family val="2"/>
        <scheme val="minor"/>
      </rPr>
      <t>cal</t>
    </r>
    <r>
      <rPr>
        <sz val="11"/>
        <color theme="1"/>
        <rFont val="Calibri"/>
        <family val="2"/>
        <scheme val="minor"/>
      </rPr>
      <t>= H/3 * (A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+SQRT(A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))</t>
    </r>
  </si>
  <si>
    <t xml:space="preserve">Value </t>
  </si>
  <si>
    <t>Remark</t>
  </si>
  <si>
    <r>
      <t>Pond size is computed from,  V</t>
    </r>
    <r>
      <rPr>
        <vertAlign val="subscript"/>
        <sz val="10"/>
        <color theme="1"/>
        <rFont val="Arial"/>
        <family val="2"/>
      </rPr>
      <t>cal</t>
    </r>
    <r>
      <rPr>
        <sz val="10"/>
        <color theme="1"/>
        <rFont val="Arial"/>
        <family val="2"/>
      </rPr>
      <t>=H/3*(A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>+A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>+SQRT(A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>+A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>))</t>
    </r>
  </si>
  <si>
    <t>Assumed</t>
  </si>
  <si>
    <t>²</t>
  </si>
  <si>
    <t xml:space="preserve">Storage width to Top of stored water surface level, B </t>
  </si>
  <si>
    <t xml:space="preserve">Storage length to Top of stored water surface level, b </t>
  </si>
  <si>
    <r>
      <t>Peak live storage Capacity, V</t>
    </r>
    <r>
      <rPr>
        <vertAlign val="subscript"/>
        <sz val="10"/>
        <color theme="1"/>
        <rFont val="Arial"/>
        <family val="2"/>
      </rPr>
      <t>live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) = Q*t</t>
    </r>
  </si>
  <si>
    <r>
      <t>Top width of crest of the storage, C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</t>
    </r>
  </si>
  <si>
    <t>Peak capacities from previous table</t>
  </si>
  <si>
    <t>This needs to be "Ok"</t>
  </si>
  <si>
    <t>Thus, provide a pond with 57x60m bottom and corresponding crest size of 67x70m for storing 12 hour flow in the night</t>
  </si>
  <si>
    <t xml:space="preserve">Irrigation Duration= </t>
  </si>
  <si>
    <t>Outputs of the computation</t>
  </si>
  <si>
    <t>Input or Cells which need to be modified</t>
  </si>
  <si>
    <t>Table: Livestock demand</t>
  </si>
  <si>
    <r>
      <t>Table: Demand and Water Balance Analysis (Mm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/Month)</t>
    </r>
  </si>
  <si>
    <t xml:space="preserve">Table: Population Forecast and Demand Analysis </t>
  </si>
  <si>
    <t>Sub total of Peak demand other than irr. (Mm3)</t>
  </si>
  <si>
    <t>Riverine Area (Ha)</t>
  </si>
  <si>
    <t>sub total (Ha)</t>
  </si>
  <si>
    <r>
      <t>At= Pond top Area = LxW,m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</si>
  <si>
    <r>
      <t>Ab=Pond bottom area = lxw, m</t>
    </r>
    <r>
      <rPr>
        <vertAlign val="superscript"/>
        <sz val="10"/>
        <color theme="1"/>
        <rFont val="Arial"/>
        <family val="2"/>
      </rPr>
      <t>2</t>
    </r>
  </si>
  <si>
    <t>Top width of Water surface, B=w+2md</t>
  </si>
  <si>
    <t>Top length of Water surface, b=l+2md</t>
  </si>
  <si>
    <r>
      <t>Water surface Area, A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=b*B</t>
    </r>
  </si>
  <si>
    <t>Storage length  to Top of pond level, L=l+2mH i.e. Crest length</t>
  </si>
  <si>
    <t>Storage width to Top of pond level, W=w+2mH i.e. Crest width</t>
  </si>
  <si>
    <r>
      <t>Volume of stored water, V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=d/3 * (A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+SQRT(A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))</t>
    </r>
  </si>
  <si>
    <t>Top width of dead storage, B'=w+2md'</t>
  </si>
  <si>
    <t>Top length of dead storage, b'=l+2md'</t>
  </si>
  <si>
    <t>Depth of dead storage, d'</t>
  </si>
  <si>
    <t xml:space="preserve">Depth of water to be stored for irrigation/live storage, d-d' </t>
  </si>
  <si>
    <t xml:space="preserve">Freeboard, FB </t>
  </si>
  <si>
    <t>Therefore, total height of storage structure, H</t>
  </si>
  <si>
    <r>
      <t>Allowed dead storage, V</t>
    </r>
    <r>
      <rPr>
        <vertAlign val="subscript"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>=V</t>
    </r>
    <r>
      <rPr>
        <vertAlign val="subscript"/>
        <sz val="10"/>
        <color theme="1"/>
        <rFont val="Arial"/>
        <family val="2"/>
      </rPr>
      <t xml:space="preserve">req </t>
    </r>
    <r>
      <rPr>
        <sz val="10"/>
        <color theme="1"/>
        <rFont val="Arial"/>
        <family val="2"/>
      </rPr>
      <t>- V</t>
    </r>
    <r>
      <rPr>
        <vertAlign val="subscript"/>
        <sz val="10"/>
        <color theme="1"/>
        <rFont val="Arial"/>
        <family val="2"/>
      </rPr>
      <t>live</t>
    </r>
  </si>
  <si>
    <r>
      <t>Check that V</t>
    </r>
    <r>
      <rPr>
        <vertAlign val="subscript"/>
        <sz val="10"/>
        <color theme="1"/>
        <rFont val="Arial"/>
        <family val="2"/>
      </rPr>
      <t>cal</t>
    </r>
    <r>
      <rPr>
        <sz val="10"/>
        <color theme="1"/>
        <rFont val="Arial"/>
        <family val="2"/>
      </rPr>
      <t xml:space="preserve"> &gt; V</t>
    </r>
    <r>
      <rPr>
        <vertAlign val="subscript"/>
        <sz val="10"/>
        <color theme="1"/>
        <rFont val="Arial"/>
        <family val="2"/>
      </rPr>
      <t>req</t>
    </r>
  </si>
  <si>
    <r>
      <t>Water surface Area, A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=b'*B'</t>
    </r>
  </si>
  <si>
    <r>
      <t>Volume of dead storage, V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=d'/3 * (A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+SQRT(A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))</t>
    </r>
  </si>
  <si>
    <r>
      <t>Thus, computed volume of live storage V</t>
    </r>
    <r>
      <rPr>
        <vertAlign val="subscript"/>
        <sz val="11"/>
        <color theme="1"/>
        <rFont val="Calibri"/>
        <family val="2"/>
        <scheme val="minor"/>
      </rPr>
      <t>cs</t>
    </r>
    <r>
      <rPr>
        <sz val="11"/>
        <color theme="1"/>
        <rFont val="Calibri"/>
        <family val="2"/>
        <scheme val="minor"/>
      </rPr>
      <t>=V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- V</t>
    </r>
    <r>
      <rPr>
        <vertAlign val="subscript"/>
        <sz val="11"/>
        <color theme="1"/>
        <rFont val="Calibri"/>
        <family val="2"/>
        <scheme val="minor"/>
      </rPr>
      <t>d</t>
    </r>
  </si>
  <si>
    <t>Including dead storage</t>
  </si>
  <si>
    <r>
      <t>Check that V</t>
    </r>
    <r>
      <rPr>
        <vertAlign val="subscript"/>
        <sz val="10"/>
        <color theme="1"/>
        <rFont val="Arial"/>
        <family val="2"/>
      </rPr>
      <t>cs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Symbol"/>
        <family val="1"/>
        <charset val="2"/>
      </rPr>
      <t>³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live</t>
    </r>
  </si>
  <si>
    <t>Institutional</t>
  </si>
  <si>
    <t>Institutional water demand</t>
  </si>
  <si>
    <t>Actual Area, (ha)</t>
  </si>
  <si>
    <r>
      <t>Minimum storage capacity including 20% for dead storage, V</t>
    </r>
    <r>
      <rPr>
        <vertAlign val="subscript"/>
        <sz val="9"/>
        <color theme="1"/>
        <rFont val="Arial"/>
        <family val="2"/>
      </rPr>
      <t>req</t>
    </r>
    <r>
      <rPr>
        <sz val="9"/>
        <color theme="1"/>
        <rFont val="Arial"/>
        <family val="2"/>
      </rPr>
      <t xml:space="preserve"> (m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) = </t>
    </r>
  </si>
  <si>
    <t>Water Budget (Mm3)</t>
  </si>
  <si>
    <t xml:space="preserve">Assumed </t>
  </si>
  <si>
    <t>Monthly NIR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</si>
</sst>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  <numFmt numFmtId="167" formatCode="#,##0.0"/>
    <numFmt numFmtId="168" formatCode="0.0000"/>
    <numFmt numFmtId="169" formatCode="_(* #,##0.000_);_(* \(#,##0.000\);_(* &quot;-&quot;??_);_(@_)"/>
    <numFmt numFmtId="170" formatCode="_(* #,##0.0000_);_(* \(#,##0.0000\);_(* &quot;-&quot;??_);_(@_)"/>
    <numFmt numFmtId="171" formatCode="_(* #,##0.0_);_(* \(#,##0.0\);_(* &quot;-&quot;??_);_(@_)"/>
    <numFmt numFmtId="172" formatCode="0\ &quot;m3&quot;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Garamond"/>
      <family val="1"/>
    </font>
    <font>
      <b/>
      <i/>
      <sz val="11"/>
      <name val="Garamond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color theme="1"/>
      <name val="Arial"/>
      <family val="2"/>
    </font>
    <font>
      <sz val="10"/>
      <color theme="1"/>
      <name val="Symbol"/>
      <family val="1"/>
      <charset val="2"/>
    </font>
    <font>
      <b/>
      <sz val="9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Times New Roman"/>
      <family val="1"/>
    </font>
    <font>
      <sz val="9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0.1"/>
      <color rgb="FF444444"/>
      <name val="Segoe UI"/>
      <family val="2"/>
    </font>
    <font>
      <sz val="8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2" borderId="0" applyNumberFormat="0" applyBorder="0" applyAlignment="0" applyProtection="0"/>
    <xf numFmtId="0" fontId="42" fillId="45" borderId="0" applyNumberFormat="0" applyBorder="0" applyAlignment="0" applyProtection="0"/>
    <xf numFmtId="0" fontId="42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50" borderId="0" applyNumberFormat="0" applyBorder="0" applyAlignment="0" applyProtection="0"/>
    <xf numFmtId="0" fontId="43" fillId="51" borderId="0" applyNumberFormat="0" applyBorder="0" applyAlignment="0" applyProtection="0"/>
    <xf numFmtId="0" fontId="43" fillId="52" borderId="0" applyNumberFormat="0" applyBorder="0" applyAlignment="0" applyProtection="0"/>
    <xf numFmtId="0" fontId="43" fillId="53" borderId="0" applyNumberFormat="0" applyBorder="0" applyAlignment="0" applyProtection="0"/>
    <xf numFmtId="0" fontId="43" fillId="54" borderId="0" applyNumberFormat="0" applyBorder="0" applyAlignment="0" applyProtection="0"/>
    <xf numFmtId="0" fontId="43" fillId="55" borderId="0" applyNumberFormat="0" applyBorder="0" applyAlignment="0" applyProtection="0"/>
    <xf numFmtId="0" fontId="43" fillId="50" borderId="0" applyNumberFormat="0" applyBorder="0" applyAlignment="0" applyProtection="0"/>
    <xf numFmtId="0" fontId="43" fillId="51" borderId="0" applyNumberFormat="0" applyBorder="0" applyAlignment="0" applyProtection="0"/>
    <xf numFmtId="0" fontId="43" fillId="56" borderId="0" applyNumberFormat="0" applyBorder="0" applyAlignment="0" applyProtection="0"/>
    <xf numFmtId="0" fontId="44" fillId="40" borderId="0" applyNumberFormat="0" applyBorder="0" applyAlignment="0" applyProtection="0"/>
    <xf numFmtId="0" fontId="45" fillId="57" borderId="28" applyNumberFormat="0" applyAlignment="0" applyProtection="0"/>
    <xf numFmtId="0" fontId="46" fillId="58" borderId="29" applyNumberFormat="0" applyAlignment="0" applyProtection="0"/>
    <xf numFmtId="0" fontId="47" fillId="0" borderId="0" applyNumberFormat="0" applyFill="0" applyBorder="0" applyAlignment="0" applyProtection="0"/>
    <xf numFmtId="0" fontId="48" fillId="41" borderId="0" applyNumberFormat="0" applyBorder="0" applyAlignment="0" applyProtection="0"/>
    <xf numFmtId="0" fontId="49" fillId="0" borderId="30" applyNumberFormat="0" applyFill="0" applyAlignment="0" applyProtection="0"/>
    <xf numFmtId="0" fontId="50" fillId="0" borderId="31" applyNumberFormat="0" applyFill="0" applyAlignment="0" applyProtection="0"/>
    <xf numFmtId="0" fontId="51" fillId="0" borderId="32" applyNumberFormat="0" applyFill="0" applyAlignment="0" applyProtection="0"/>
    <xf numFmtId="0" fontId="51" fillId="0" borderId="0" applyNumberFormat="0" applyFill="0" applyBorder="0" applyAlignment="0" applyProtection="0"/>
    <xf numFmtId="0" fontId="52" fillId="44" borderId="28" applyNumberFormat="0" applyAlignment="0" applyProtection="0"/>
    <xf numFmtId="0" fontId="53" fillId="0" borderId="33" applyNumberFormat="0" applyFill="0" applyAlignment="0" applyProtection="0"/>
    <xf numFmtId="0" fontId="54" fillId="59" borderId="0" applyNumberFormat="0" applyBorder="0" applyAlignment="0" applyProtection="0"/>
    <xf numFmtId="0" fontId="42" fillId="60" borderId="34" applyNumberFormat="0" applyFont="0" applyAlignment="0" applyProtection="0"/>
    <xf numFmtId="0" fontId="55" fillId="57" borderId="35" applyNumberFormat="0" applyAlignment="0" applyProtection="0"/>
    <xf numFmtId="0" fontId="56" fillId="0" borderId="0" applyNumberFormat="0" applyFill="0" applyBorder="0" applyAlignment="0" applyProtection="0"/>
    <xf numFmtId="0" fontId="57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10" xfId="0" applyBorder="1"/>
    <xf numFmtId="0" fontId="20" fillId="0" borderId="0" xfId="42" applyFont="1"/>
    <xf numFmtId="0" fontId="19" fillId="0" borderId="0" xfId="42" applyFont="1"/>
    <xf numFmtId="0" fontId="23" fillId="0" borderId="0" xfId="0" applyFont="1"/>
    <xf numFmtId="0" fontId="24" fillId="0" borderId="0" xfId="0" applyFont="1"/>
    <xf numFmtId="0" fontId="19" fillId="33" borderId="10" xfId="42" applyFont="1" applyFill="1" applyBorder="1" applyAlignment="1">
      <alignment horizontal="center"/>
    </xf>
    <xf numFmtId="0" fontId="20" fillId="0" borderId="10" xfId="42" applyFont="1" applyBorder="1" applyAlignment="1">
      <alignment horizontal="justify"/>
    </xf>
    <xf numFmtId="0" fontId="19" fillId="0" borderId="10" xfId="42" applyFont="1" applyBorder="1" applyAlignment="1">
      <alignment horizontal="justify"/>
    </xf>
    <xf numFmtId="0" fontId="20" fillId="0" borderId="10" xfId="42" applyFont="1" applyBorder="1" applyAlignment="1">
      <alignment horizontal="center"/>
    </xf>
    <xf numFmtId="0" fontId="20" fillId="0" borderId="10" xfId="42" applyFont="1" applyBorder="1" applyAlignment="1">
      <alignment vertical="top" wrapText="1"/>
    </xf>
    <xf numFmtId="0" fontId="20" fillId="0" borderId="11" xfId="42" applyFont="1" applyBorder="1" applyAlignment="1">
      <alignment horizontal="center"/>
    </xf>
    <xf numFmtId="3" fontId="20" fillId="0" borderId="10" xfId="42" applyNumberFormat="1" applyFont="1" applyBorder="1" applyAlignment="1">
      <alignment horizontal="right" vertical="top" wrapText="1"/>
    </xf>
    <xf numFmtId="0" fontId="20" fillId="0" borderId="0" xfId="44" applyFont="1"/>
    <xf numFmtId="166" fontId="20" fillId="0" borderId="10" xfId="45" applyNumberFormat="1" applyFont="1" applyBorder="1" applyAlignment="1">
      <alignment horizontal="right"/>
    </xf>
    <xf numFmtId="0" fontId="20" fillId="0" borderId="10" xfId="44" applyFont="1" applyBorder="1"/>
    <xf numFmtId="166" fontId="20" fillId="0" borderId="10" xfId="44" applyNumberFormat="1" applyFont="1" applyBorder="1" applyAlignment="1">
      <alignment horizontal="right"/>
    </xf>
    <xf numFmtId="0" fontId="20" fillId="0" borderId="10" xfId="44" applyFont="1" applyBorder="1" applyAlignment="1">
      <alignment horizontal="justify"/>
    </xf>
    <xf numFmtId="0" fontId="19" fillId="0" borderId="10" xfId="44" applyFont="1" applyBorder="1"/>
    <xf numFmtId="0" fontId="20" fillId="0" borderId="10" xfId="44" applyFont="1" applyBorder="1" applyAlignment="1">
      <alignment horizontal="center"/>
    </xf>
    <xf numFmtId="0" fontId="29" fillId="0" borderId="10" xfId="44" applyFont="1" applyBorder="1"/>
    <xf numFmtId="165" fontId="20" fillId="0" borderId="10" xfId="44" applyNumberFormat="1" applyFont="1" applyBorder="1" applyAlignment="1">
      <alignment horizontal="justify"/>
    </xf>
    <xf numFmtId="0" fontId="20" fillId="0" borderId="10" xfId="44" applyFont="1" applyBorder="1" applyAlignment="1">
      <alignment horizontal="right"/>
    </xf>
    <xf numFmtId="2" fontId="20" fillId="0" borderId="10" xfId="44" applyNumberFormat="1" applyFont="1" applyBorder="1" applyAlignment="1">
      <alignment horizontal="justify"/>
    </xf>
    <xf numFmtId="0" fontId="29" fillId="0" borderId="10" xfId="44" applyFont="1" applyBorder="1" applyAlignment="1">
      <alignment horizontal="center"/>
    </xf>
    <xf numFmtId="0" fontId="20" fillId="0" borderId="0" xfId="44" applyFont="1" applyBorder="1" applyAlignment="1">
      <alignment horizontal="justify"/>
    </xf>
    <xf numFmtId="0" fontId="29" fillId="0" borderId="0" xfId="44" applyFont="1" applyBorder="1"/>
    <xf numFmtId="0" fontId="19" fillId="0" borderId="0" xfId="44" applyFont="1" applyBorder="1" applyAlignment="1">
      <alignment horizontal="center"/>
    </xf>
    <xf numFmtId="3" fontId="29" fillId="0" borderId="0" xfId="44" applyNumberFormat="1" applyFont="1" applyBorder="1" applyAlignment="1">
      <alignment horizontal="center"/>
    </xf>
    <xf numFmtId="0" fontId="30" fillId="34" borderId="10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34" borderId="12" xfId="0" applyFont="1" applyFill="1" applyBorder="1" applyAlignment="1">
      <alignment vertical="center" wrapText="1"/>
    </xf>
    <xf numFmtId="166" fontId="21" fillId="0" borderId="10" xfId="0" applyNumberFormat="1" applyFont="1" applyBorder="1" applyAlignment="1">
      <alignment horizontal="right"/>
    </xf>
    <xf numFmtId="0" fontId="24" fillId="0" borderId="13" xfId="0" applyFont="1" applyBorder="1"/>
    <xf numFmtId="0" fontId="24" fillId="0" borderId="14" xfId="0" applyFont="1" applyBorder="1"/>
    <xf numFmtId="0" fontId="24" fillId="0" borderId="11" xfId="0" applyFont="1" applyBorder="1"/>
    <xf numFmtId="165" fontId="24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right"/>
    </xf>
    <xf numFmtId="3" fontId="21" fillId="0" borderId="10" xfId="0" applyNumberFormat="1" applyFont="1" applyBorder="1" applyAlignment="1">
      <alignment horizontal="right"/>
    </xf>
    <xf numFmtId="165" fontId="22" fillId="0" borderId="10" xfId="0" applyNumberFormat="1" applyFont="1" applyBorder="1" applyAlignment="1">
      <alignment horizontal="right"/>
    </xf>
    <xf numFmtId="0" fontId="24" fillId="0" borderId="10" xfId="0" applyFont="1" applyBorder="1"/>
    <xf numFmtId="0" fontId="32" fillId="36" borderId="10" xfId="0" applyFont="1" applyFill="1" applyBorder="1" applyAlignment="1">
      <alignment horizontal="center"/>
    </xf>
    <xf numFmtId="0" fontId="33" fillId="34" borderId="12" xfId="0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35" borderId="0" xfId="0" applyFill="1" applyBorder="1"/>
    <xf numFmtId="0" fontId="0" fillId="0" borderId="20" xfId="0" applyBorder="1"/>
    <xf numFmtId="0" fontId="0" fillId="0" borderId="21" xfId="0" applyBorder="1"/>
    <xf numFmtId="2" fontId="19" fillId="0" borderId="10" xfId="0" applyNumberFormat="1" applyFont="1" applyBorder="1"/>
    <xf numFmtId="0" fontId="24" fillId="36" borderId="10" xfId="0" applyFont="1" applyFill="1" applyBorder="1"/>
    <xf numFmtId="165" fontId="24" fillId="0" borderId="10" xfId="0" applyNumberFormat="1" applyFont="1" applyBorder="1"/>
    <xf numFmtId="0" fontId="24" fillId="0" borderId="10" xfId="0" applyFont="1" applyFill="1" applyBorder="1" applyAlignment="1">
      <alignment vertical="top" wrapText="1"/>
    </xf>
    <xf numFmtId="0" fontId="24" fillId="0" borderId="10" xfId="0" applyFont="1" applyBorder="1" applyAlignment="1">
      <alignment horizontal="center"/>
    </xf>
    <xf numFmtId="0" fontId="0" fillId="35" borderId="10" xfId="0" applyFill="1" applyBorder="1"/>
    <xf numFmtId="2" fontId="0" fillId="0" borderId="10" xfId="0" applyNumberFormat="1" applyBorder="1"/>
    <xf numFmtId="2" fontId="0" fillId="35" borderId="10" xfId="0" applyNumberFormat="1" applyFill="1" applyBorder="1"/>
    <xf numFmtId="2" fontId="0" fillId="37" borderId="10" xfId="0" applyNumberFormat="1" applyFill="1" applyBorder="1"/>
    <xf numFmtId="0" fontId="16" fillId="0" borderId="0" xfId="0" applyFont="1"/>
    <xf numFmtId="2" fontId="0" fillId="35" borderId="0" xfId="0" applyNumberFormat="1" applyFill="1" applyBorder="1"/>
    <xf numFmtId="165" fontId="0" fillId="0" borderId="10" xfId="0" applyNumberFormat="1" applyBorder="1"/>
    <xf numFmtId="0" fontId="0" fillId="0" borderId="15" xfId="0" applyBorder="1" applyAlignment="1">
      <alignment wrapText="1"/>
    </xf>
    <xf numFmtId="0" fontId="0" fillId="35" borderId="18" xfId="0" applyFill="1" applyBorder="1"/>
    <xf numFmtId="2" fontId="0" fillId="0" borderId="0" xfId="0" applyNumberFormat="1" applyBorder="1"/>
    <xf numFmtId="2" fontId="0" fillId="0" borderId="21" xfId="0" applyNumberFormat="1" applyBorder="1"/>
    <xf numFmtId="0" fontId="0" fillId="0" borderId="0" xfId="0" applyFill="1" applyBorder="1"/>
    <xf numFmtId="0" fontId="24" fillId="0" borderId="10" xfId="0" applyFont="1" applyBorder="1" applyAlignment="1">
      <alignment wrapText="1"/>
    </xf>
    <xf numFmtId="0" fontId="24" fillId="0" borderId="10" xfId="0" applyFont="1" applyFill="1" applyBorder="1" applyAlignment="1">
      <alignment wrapText="1"/>
    </xf>
    <xf numFmtId="0" fontId="24" fillId="0" borderId="0" xfId="0" applyFont="1" applyAlignment="1">
      <alignment wrapText="1"/>
    </xf>
    <xf numFmtId="0" fontId="18" fillId="0" borderId="10" xfId="0" applyFont="1" applyFill="1" applyBorder="1" applyAlignment="1">
      <alignment horizontal="center"/>
    </xf>
    <xf numFmtId="49" fontId="18" fillId="36" borderId="10" xfId="0" applyNumberFormat="1" applyFont="1" applyFill="1" applyBorder="1"/>
    <xf numFmtId="165" fontId="18" fillId="0" borderId="10" xfId="0" applyNumberFormat="1" applyFont="1" applyBorder="1" applyAlignment="1">
      <alignment horizontal="center"/>
    </xf>
    <xf numFmtId="165" fontId="24" fillId="35" borderId="10" xfId="0" applyNumberFormat="1" applyFont="1" applyFill="1" applyBorder="1"/>
    <xf numFmtId="0" fontId="24" fillId="0" borderId="10" xfId="0" applyFont="1" applyFill="1" applyBorder="1"/>
    <xf numFmtId="164" fontId="24" fillId="0" borderId="10" xfId="0" applyNumberFormat="1" applyFont="1" applyBorder="1"/>
    <xf numFmtId="164" fontId="32" fillId="0" borderId="10" xfId="0" applyNumberFormat="1" applyFont="1" applyBorder="1"/>
    <xf numFmtId="0" fontId="24" fillId="0" borderId="10" xfId="0" applyFont="1" applyBorder="1" applyAlignment="1">
      <alignment horizontal="left"/>
    </xf>
    <xf numFmtId="0" fontId="38" fillId="0" borderId="10" xfId="0" applyFont="1" applyBorder="1"/>
    <xf numFmtId="0" fontId="24" fillId="0" borderId="10" xfId="0" applyFont="1" applyBorder="1" applyAlignment="1">
      <alignment horizontal="justify" vertical="center" wrapText="1"/>
    </xf>
    <xf numFmtId="165" fontId="24" fillId="0" borderId="10" xfId="0" applyNumberFormat="1" applyFont="1" applyBorder="1" applyAlignment="1">
      <alignment horizontal="center" vertical="center" wrapText="1"/>
    </xf>
    <xf numFmtId="0" fontId="24" fillId="0" borderId="18" xfId="0" applyFont="1" applyBorder="1"/>
    <xf numFmtId="0" fontId="24" fillId="0" borderId="0" xfId="0" applyFont="1" applyBorder="1" applyAlignment="1">
      <alignment wrapText="1"/>
    </xf>
    <xf numFmtId="0" fontId="24" fillId="0" borderId="0" xfId="0" applyFont="1" applyBorder="1"/>
    <xf numFmtId="0" fontId="24" fillId="0" borderId="19" xfId="0" applyFont="1" applyBorder="1"/>
    <xf numFmtId="0" fontId="24" fillId="0" borderId="0" xfId="0" applyFont="1" applyBorder="1" applyAlignment="1">
      <alignment horizontal="left"/>
    </xf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14" xfId="0" applyFont="1" applyBorder="1" applyAlignment="1">
      <alignment wrapText="1"/>
    </xf>
    <xf numFmtId="0" fontId="24" fillId="35" borderId="13" xfId="0" applyFont="1" applyFill="1" applyBorder="1"/>
    <xf numFmtId="9" fontId="24" fillId="0" borderId="0" xfId="46" applyFont="1"/>
    <xf numFmtId="1" fontId="24" fillId="0" borderId="10" xfId="0" applyNumberFormat="1" applyFont="1" applyBorder="1" applyAlignment="1">
      <alignment horizontal="center" vertical="center" wrapText="1"/>
    </xf>
    <xf numFmtId="0" fontId="18" fillId="0" borderId="10" xfId="42" applyFont="1" applyBorder="1"/>
    <xf numFmtId="169" fontId="24" fillId="0" borderId="10" xfId="47" applyNumberFormat="1" applyFont="1" applyBorder="1"/>
    <xf numFmtId="0" fontId="0" fillId="0" borderId="10" xfId="0" applyBorder="1" applyAlignment="1">
      <alignment horizontal="center"/>
    </xf>
    <xf numFmtId="168" fontId="24" fillId="0" borderId="0" xfId="0" applyNumberFormat="1" applyFont="1" applyBorder="1"/>
    <xf numFmtId="9" fontId="24" fillId="0" borderId="10" xfId="46" applyFont="1" applyBorder="1" applyAlignment="1">
      <alignment horizontal="center" vertical="center" wrapText="1"/>
    </xf>
    <xf numFmtId="164" fontId="0" fillId="0" borderId="10" xfId="0" applyNumberFormat="1" applyBorder="1"/>
    <xf numFmtId="0" fontId="0" fillId="35" borderId="10" xfId="0" applyFill="1" applyBorder="1" applyAlignment="1">
      <alignment horizontal="right"/>
    </xf>
    <xf numFmtId="165" fontId="0" fillId="35" borderId="10" xfId="0" applyNumberFormat="1" applyFill="1" applyBorder="1"/>
    <xf numFmtId="165" fontId="0" fillId="0" borderId="0" xfId="0" applyNumberFormat="1" applyAlignment="1">
      <alignment horizontal="center"/>
    </xf>
    <xf numFmtId="0" fontId="32" fillId="36" borderId="10" xfId="0" applyFont="1" applyFill="1" applyBorder="1"/>
    <xf numFmtId="0" fontId="24" fillId="0" borderId="24" xfId="0" applyFont="1" applyBorder="1"/>
    <xf numFmtId="0" fontId="24" fillId="0" borderId="25" xfId="0" applyFont="1" applyBorder="1"/>
    <xf numFmtId="0" fontId="24" fillId="0" borderId="27" xfId="0" applyFont="1" applyBorder="1"/>
    <xf numFmtId="0" fontId="24" fillId="0" borderId="0" xfId="0" applyFont="1" applyAlignment="1">
      <alignment horizontal="right"/>
    </xf>
    <xf numFmtId="43" fontId="24" fillId="0" borderId="10" xfId="47" applyNumberFormat="1" applyFont="1" applyBorder="1"/>
    <xf numFmtId="0" fontId="24" fillId="0" borderId="10" xfId="0" applyFont="1" applyBorder="1"/>
    <xf numFmtId="2" fontId="24" fillId="0" borderId="10" xfId="0" applyNumberFormat="1" applyFont="1" applyBorder="1"/>
    <xf numFmtId="0" fontId="0" fillId="0" borderId="10" xfId="0" applyBorder="1"/>
    <xf numFmtId="0" fontId="16" fillId="0" borderId="0" xfId="0" applyFont="1"/>
    <xf numFmtId="43" fontId="24" fillId="0" borderId="10" xfId="0" applyNumberFormat="1" applyFont="1" applyBorder="1"/>
    <xf numFmtId="169" fontId="24" fillId="0" borderId="10" xfId="0" applyNumberFormat="1" applyFont="1" applyBorder="1"/>
    <xf numFmtId="0" fontId="59" fillId="38" borderId="10" xfId="0" applyFont="1" applyFill="1" applyBorder="1" applyAlignment="1">
      <alignment horizontal="right" vertical="center"/>
    </xf>
    <xf numFmtId="165" fontId="59" fillId="38" borderId="10" xfId="0" applyNumberFormat="1" applyFont="1" applyFill="1" applyBorder="1" applyAlignment="1">
      <alignment horizontal="right" vertical="center"/>
    </xf>
    <xf numFmtId="1" fontId="24" fillId="0" borderId="10" xfId="0" applyNumberFormat="1" applyFont="1" applyBorder="1"/>
    <xf numFmtId="0" fontId="24" fillId="0" borderId="23" xfId="0" applyFont="1" applyBorder="1"/>
    <xf numFmtId="0" fontId="24" fillId="0" borderId="26" xfId="0" applyFont="1" applyBorder="1"/>
    <xf numFmtId="43" fontId="24" fillId="0" borderId="27" xfId="47" applyFont="1" applyBorder="1"/>
    <xf numFmtId="0" fontId="24" fillId="0" borderId="37" xfId="0" applyFont="1" applyBorder="1"/>
    <xf numFmtId="0" fontId="24" fillId="0" borderId="38" xfId="0" applyFont="1" applyBorder="1"/>
    <xf numFmtId="43" fontId="24" fillId="35" borderId="39" xfId="47" applyFont="1" applyFill="1" applyBorder="1"/>
    <xf numFmtId="43" fontId="24" fillId="35" borderId="27" xfId="47" applyFont="1" applyFill="1" applyBorder="1"/>
    <xf numFmtId="0" fontId="32" fillId="34" borderId="10" xfId="0" applyFont="1" applyFill="1" applyBorder="1" applyAlignment="1">
      <alignment horizontal="center" vertical="center" wrapText="1"/>
    </xf>
    <xf numFmtId="170" fontId="24" fillId="0" borderId="10" xfId="47" applyNumberFormat="1" applyFont="1" applyBorder="1"/>
    <xf numFmtId="0" fontId="60" fillId="0" borderId="0" xfId="0" applyFont="1"/>
    <xf numFmtId="2" fontId="0" fillId="0" borderId="0" xfId="0" applyNumberFormat="1"/>
    <xf numFmtId="0" fontId="24" fillId="0" borderId="40" xfId="0" applyFont="1" applyFill="1" applyBorder="1"/>
    <xf numFmtId="0" fontId="0" fillId="0" borderId="41" xfId="0" applyBorder="1"/>
    <xf numFmtId="0" fontId="0" fillId="0" borderId="42" xfId="0" applyBorder="1"/>
    <xf numFmtId="0" fontId="24" fillId="0" borderId="43" xfId="0" applyFont="1" applyFill="1" applyBorder="1"/>
    <xf numFmtId="0" fontId="0" fillId="0" borderId="38" xfId="0" applyBorder="1"/>
    <xf numFmtId="0" fontId="0" fillId="0" borderId="39" xfId="0" applyBorder="1"/>
    <xf numFmtId="0" fontId="24" fillId="0" borderId="47" xfId="0" applyFont="1" applyBorder="1"/>
    <xf numFmtId="1" fontId="24" fillId="0" borderId="48" xfId="0" applyNumberFormat="1" applyFont="1" applyBorder="1"/>
    <xf numFmtId="43" fontId="24" fillId="0" borderId="48" xfId="47" applyNumberFormat="1" applyFont="1" applyBorder="1"/>
    <xf numFmtId="0" fontId="24" fillId="0" borderId="49" xfId="0" applyFont="1" applyBorder="1"/>
    <xf numFmtId="166" fontId="0" fillId="0" borderId="50" xfId="0" applyNumberFormat="1" applyBorder="1"/>
    <xf numFmtId="166" fontId="0" fillId="0" borderId="51" xfId="0" applyNumberFormat="1" applyBorder="1"/>
    <xf numFmtId="171" fontId="0" fillId="0" borderId="0" xfId="0" applyNumberFormat="1"/>
    <xf numFmtId="166" fontId="0" fillId="0" borderId="0" xfId="0" applyNumberFormat="1"/>
    <xf numFmtId="0" fontId="24" fillId="0" borderId="10" xfId="0" applyFont="1" applyFill="1" applyBorder="1" applyAlignment="1">
      <alignment horizontal="center"/>
    </xf>
    <xf numFmtId="165" fontId="24" fillId="0" borderId="10" xfId="0" applyNumberFormat="1" applyFont="1" applyFill="1" applyBorder="1" applyAlignment="1">
      <alignment horizontal="center"/>
    </xf>
    <xf numFmtId="166" fontId="0" fillId="0" borderId="10" xfId="47" applyNumberFormat="1" applyFont="1" applyBorder="1"/>
    <xf numFmtId="0" fontId="24" fillId="0" borderId="47" xfId="0" applyFont="1" applyBorder="1" applyAlignment="1">
      <alignment horizontal="left" vertical="center"/>
    </xf>
    <xf numFmtId="0" fontId="0" fillId="0" borderId="48" xfId="0" applyBorder="1"/>
    <xf numFmtId="0" fontId="24" fillId="0" borderId="47" xfId="0" applyFont="1" applyBorder="1" applyAlignment="1">
      <alignment horizontal="left"/>
    </xf>
    <xf numFmtId="0" fontId="32" fillId="0" borderId="47" xfId="0" applyFont="1" applyBorder="1" applyAlignment="1">
      <alignment horizontal="left"/>
    </xf>
    <xf numFmtId="0" fontId="0" fillId="0" borderId="47" xfId="0" applyBorder="1"/>
    <xf numFmtId="0" fontId="24" fillId="0" borderId="52" xfId="0" applyFont="1" applyBorder="1" applyAlignment="1">
      <alignment horizontal="left" vertical="center"/>
    </xf>
    <xf numFmtId="0" fontId="32" fillId="36" borderId="40" xfId="0" applyFont="1" applyFill="1" applyBorder="1" applyAlignment="1">
      <alignment horizontal="center"/>
    </xf>
    <xf numFmtId="0" fontId="32" fillId="36" borderId="54" xfId="0" applyFont="1" applyFill="1" applyBorder="1" applyAlignment="1">
      <alignment horizontal="center"/>
    </xf>
    <xf numFmtId="0" fontId="32" fillId="36" borderId="55" xfId="0" applyFont="1" applyFill="1" applyBorder="1" applyAlignment="1">
      <alignment horizontal="center"/>
    </xf>
    <xf numFmtId="0" fontId="24" fillId="0" borderId="47" xfId="0" applyFont="1" applyBorder="1" applyAlignment="1">
      <alignment horizontal="left" vertical="center" wrapText="1"/>
    </xf>
    <xf numFmtId="1" fontId="24" fillId="0" borderId="10" xfId="0" applyNumberFormat="1" applyFont="1" applyFill="1" applyBorder="1" applyAlignment="1">
      <alignment horizontal="center"/>
    </xf>
    <xf numFmtId="0" fontId="64" fillId="0" borderId="48" xfId="0" applyFont="1" applyBorder="1" applyAlignment="1">
      <alignment horizontal="center"/>
    </xf>
    <xf numFmtId="0" fontId="24" fillId="0" borderId="52" xfId="0" applyFont="1" applyBorder="1" applyAlignment="1">
      <alignment horizontal="left" vertical="center" wrapText="1"/>
    </xf>
    <xf numFmtId="172" fontId="0" fillId="0" borderId="48" xfId="0" applyNumberFormat="1" applyBorder="1"/>
    <xf numFmtId="0" fontId="65" fillId="0" borderId="48" xfId="0" applyFont="1" applyBorder="1"/>
    <xf numFmtId="165" fontId="24" fillId="62" borderId="10" xfId="0" applyNumberFormat="1" applyFont="1" applyFill="1" applyBorder="1" applyAlignment="1">
      <alignment horizontal="center"/>
    </xf>
    <xf numFmtId="2" fontId="0" fillId="62" borderId="10" xfId="0" applyNumberFormat="1" applyFill="1" applyBorder="1"/>
    <xf numFmtId="2" fontId="0" fillId="62" borderId="48" xfId="0" applyNumberFormat="1" applyFill="1" applyBorder="1"/>
    <xf numFmtId="166" fontId="24" fillId="62" borderId="10" xfId="47" applyNumberFormat="1" applyFont="1" applyFill="1" applyBorder="1"/>
    <xf numFmtId="0" fontId="0" fillId="62" borderId="0" xfId="0" applyFill="1" applyAlignment="1">
      <alignment horizontal="center"/>
    </xf>
    <xf numFmtId="0" fontId="0" fillId="62" borderId="0" xfId="0" applyFill="1"/>
    <xf numFmtId="0" fontId="24" fillId="61" borderId="0" xfId="0" applyFont="1" applyFill="1"/>
    <xf numFmtId="166" fontId="16" fillId="61" borderId="38" xfId="0" applyNumberFormat="1" applyFont="1" applyFill="1" applyBorder="1"/>
    <xf numFmtId="166" fontId="16" fillId="61" borderId="41" xfId="0" applyNumberFormat="1" applyFont="1" applyFill="1" applyBorder="1"/>
    <xf numFmtId="0" fontId="14" fillId="61" borderId="10" xfId="0" applyFont="1" applyFill="1" applyBorder="1" applyAlignment="1">
      <alignment horizontal="center"/>
    </xf>
    <xf numFmtId="165" fontId="22" fillId="61" borderId="10" xfId="0" applyNumberFormat="1" applyFont="1" applyFill="1" applyBorder="1" applyAlignment="1">
      <alignment horizontal="right"/>
    </xf>
    <xf numFmtId="164" fontId="32" fillId="61" borderId="10" xfId="0" applyNumberFormat="1" applyFont="1" applyFill="1" applyBorder="1"/>
    <xf numFmtId="165" fontId="0" fillId="62" borderId="10" xfId="0" applyNumberForma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6" fontId="0" fillId="62" borderId="10" xfId="47" applyNumberFormat="1" applyFont="1" applyFill="1" applyBorder="1" applyAlignment="1">
      <alignment horizontal="center"/>
    </xf>
    <xf numFmtId="0" fontId="24" fillId="62" borderId="10" xfId="0" applyFont="1" applyFill="1" applyBorder="1"/>
    <xf numFmtId="1" fontId="0" fillId="62" borderId="10" xfId="0" applyNumberFormat="1" applyFill="1" applyBorder="1"/>
    <xf numFmtId="0" fontId="32" fillId="36" borderId="57" xfId="0" applyFont="1" applyFill="1" applyBorder="1" applyAlignment="1">
      <alignment horizontal="center"/>
    </xf>
    <xf numFmtId="0" fontId="32" fillId="36" borderId="58" xfId="0" applyFont="1" applyFill="1" applyBorder="1" applyAlignment="1">
      <alignment horizontal="center"/>
    </xf>
    <xf numFmtId="0" fontId="32" fillId="36" borderId="56" xfId="0" applyFont="1" applyFill="1" applyBorder="1" applyAlignment="1">
      <alignment horizontal="center"/>
    </xf>
    <xf numFmtId="0" fontId="24" fillId="0" borderId="44" xfId="0" applyFont="1" applyBorder="1"/>
    <xf numFmtId="0" fontId="24" fillId="0" borderId="45" xfId="0" applyFont="1" applyBorder="1"/>
    <xf numFmtId="0" fontId="24" fillId="0" borderId="46" xfId="0" applyFont="1" applyBorder="1"/>
    <xf numFmtId="1" fontId="0" fillId="62" borderId="48" xfId="0" applyNumberFormat="1" applyFill="1" applyBorder="1"/>
    <xf numFmtId="43" fontId="0" fillId="0" borderId="0" xfId="0" applyNumberFormat="1"/>
    <xf numFmtId="0" fontId="0" fillId="0" borderId="12" xfId="0" applyBorder="1"/>
    <xf numFmtId="0" fontId="0" fillId="0" borderId="60" xfId="0" applyBorder="1"/>
    <xf numFmtId="0" fontId="24" fillId="0" borderId="10" xfId="0" applyFont="1" applyBorder="1" applyAlignment="1">
      <alignment horizontal="left" vertical="center"/>
    </xf>
    <xf numFmtId="0" fontId="0" fillId="0" borderId="10" xfId="0" applyBorder="1" applyAlignment="1">
      <alignment wrapText="1"/>
    </xf>
    <xf numFmtId="0" fontId="65" fillId="0" borderId="53" xfId="0" applyFont="1" applyBorder="1" applyAlignment="1">
      <alignment horizontal="left" vertical="top" wrapText="1"/>
    </xf>
    <xf numFmtId="172" fontId="0" fillId="0" borderId="15" xfId="0" applyNumberFormat="1" applyBorder="1"/>
    <xf numFmtId="0" fontId="67" fillId="0" borderId="0" xfId="0" applyFont="1" applyAlignment="1">
      <alignment horizontal="left"/>
    </xf>
    <xf numFmtId="166" fontId="0" fillId="0" borderId="10" xfId="0" applyNumberFormat="1" applyBorder="1"/>
    <xf numFmtId="0" fontId="68" fillId="61" borderId="59" xfId="0" applyFont="1" applyFill="1" applyBorder="1" applyAlignment="1">
      <alignment horizontal="left" vertical="center"/>
    </xf>
    <xf numFmtId="0" fontId="18" fillId="0" borderId="10" xfId="44" applyFont="1" applyBorder="1" applyAlignment="1">
      <alignment wrapText="1"/>
    </xf>
    <xf numFmtId="0" fontId="60" fillId="0" borderId="52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0" fillId="0" borderId="21" xfId="0" applyBorder="1" applyAlignment="1">
      <alignment horizontal="center"/>
    </xf>
    <xf numFmtId="0" fontId="24" fillId="36" borderId="10" xfId="0" applyFont="1" applyFill="1" applyBorder="1" applyAlignment="1">
      <alignment horizontal="center" vertical="top" wrapText="1"/>
    </xf>
    <xf numFmtId="0" fontId="24" fillId="36" borderId="10" xfId="0" applyFont="1" applyFill="1" applyBorder="1" applyAlignment="1">
      <alignment horizontal="center" vertical="top"/>
    </xf>
    <xf numFmtId="0" fontId="32" fillId="34" borderId="12" xfId="0" applyFont="1" applyFill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0" fontId="66" fillId="0" borderId="10" xfId="0" applyFont="1" applyBorder="1" applyAlignment="1">
      <alignment horizontal="left"/>
    </xf>
    <xf numFmtId="0" fontId="32" fillId="34" borderId="10" xfId="0" applyFont="1" applyFill="1" applyBorder="1" applyAlignment="1">
      <alignment horizontal="center" vertical="center" wrapText="1"/>
    </xf>
    <xf numFmtId="0" fontId="65" fillId="0" borderId="56" xfId="0" applyFont="1" applyBorder="1" applyAlignment="1">
      <alignment horizontal="left" vertical="top" wrapText="1"/>
    </xf>
    <xf numFmtId="0" fontId="65" fillId="0" borderId="53" xfId="0" applyFont="1" applyBorder="1" applyAlignment="1">
      <alignment horizontal="left" vertical="top" wrapText="1"/>
    </xf>
  </cellXfs>
  <cellStyles count="95">
    <cellStyle name="20% - Accent1" xfId="19" builtinId="30" customBuiltin="1"/>
    <cellStyle name="20% - Accent1 2" xfId="48"/>
    <cellStyle name="20% - Accent2" xfId="23" builtinId="34" customBuiltin="1"/>
    <cellStyle name="20% - Accent2 2" xfId="49"/>
    <cellStyle name="20% - Accent3" xfId="27" builtinId="38" customBuiltin="1"/>
    <cellStyle name="20% - Accent3 2" xfId="50"/>
    <cellStyle name="20% - Accent4" xfId="31" builtinId="42" customBuiltin="1"/>
    <cellStyle name="20% - Accent4 2" xfId="51"/>
    <cellStyle name="20% - Accent5" xfId="35" builtinId="46" customBuiltin="1"/>
    <cellStyle name="20% - Accent5 2" xfId="52"/>
    <cellStyle name="20% - Accent6" xfId="39" builtinId="50" customBuiltin="1"/>
    <cellStyle name="20% - Accent6 2" xfId="53"/>
    <cellStyle name="40% - Accent1" xfId="20" builtinId="31" customBuiltin="1"/>
    <cellStyle name="40% - Accent1 2" xfId="54"/>
    <cellStyle name="40% - Accent2" xfId="24" builtinId="35" customBuiltin="1"/>
    <cellStyle name="40% - Accent2 2" xfId="55"/>
    <cellStyle name="40% - Accent3" xfId="28" builtinId="39" customBuiltin="1"/>
    <cellStyle name="40% - Accent3 2" xfId="56"/>
    <cellStyle name="40% - Accent4" xfId="32" builtinId="43" customBuiltin="1"/>
    <cellStyle name="40% - Accent4 2" xfId="57"/>
    <cellStyle name="40% - Accent5" xfId="36" builtinId="47" customBuiltin="1"/>
    <cellStyle name="40% - Accent5 2" xfId="58"/>
    <cellStyle name="40% - Accent6" xfId="40" builtinId="51" customBuiltin="1"/>
    <cellStyle name="40% - Accent6 2" xfId="59"/>
    <cellStyle name="60% - Accent1" xfId="21" builtinId="32" customBuiltin="1"/>
    <cellStyle name="60% - Accent1 2" xfId="60"/>
    <cellStyle name="60% - Accent2" xfId="25" builtinId="36" customBuiltin="1"/>
    <cellStyle name="60% - Accent2 2" xfId="61"/>
    <cellStyle name="60% - Accent3" xfId="29" builtinId="40" customBuiltin="1"/>
    <cellStyle name="60% - Accent3 2" xfId="62"/>
    <cellStyle name="60% - Accent4" xfId="33" builtinId="44" customBuiltin="1"/>
    <cellStyle name="60% - Accent4 2" xfId="63"/>
    <cellStyle name="60% - Accent5" xfId="37" builtinId="48" customBuiltin="1"/>
    <cellStyle name="60% - Accent5 2" xfId="64"/>
    <cellStyle name="60% - Accent6" xfId="41" builtinId="52" customBuiltin="1"/>
    <cellStyle name="60% - Accent6 2" xfId="65"/>
    <cellStyle name="Accent1" xfId="18" builtinId="29" customBuiltin="1"/>
    <cellStyle name="Accent1 2" xfId="66"/>
    <cellStyle name="Accent2" xfId="22" builtinId="33" customBuiltin="1"/>
    <cellStyle name="Accent2 2" xfId="67"/>
    <cellStyle name="Accent3" xfId="26" builtinId="37" customBuiltin="1"/>
    <cellStyle name="Accent3 2" xfId="68"/>
    <cellStyle name="Accent4" xfId="30" builtinId="41" customBuiltin="1"/>
    <cellStyle name="Accent4 2" xfId="69"/>
    <cellStyle name="Accent5" xfId="34" builtinId="45" customBuiltin="1"/>
    <cellStyle name="Accent5 2" xfId="70"/>
    <cellStyle name="Accent6" xfId="38" builtinId="49" customBuiltin="1"/>
    <cellStyle name="Accent6 2" xfId="71"/>
    <cellStyle name="Bad" xfId="7" builtinId="27" customBuiltin="1"/>
    <cellStyle name="Bad 2" xfId="72"/>
    <cellStyle name="Calculation" xfId="11" builtinId="22" customBuiltin="1"/>
    <cellStyle name="Calculation 2" xfId="73"/>
    <cellStyle name="Check Cell" xfId="13" builtinId="23" customBuiltin="1"/>
    <cellStyle name="Check Cell 2" xfId="74"/>
    <cellStyle name="Comma" xfId="47" builtinId="3"/>
    <cellStyle name="Comma 2" xfId="43"/>
    <cellStyle name="Comma 2 2" xfId="94"/>
    <cellStyle name="Comma 2 3" xfId="92"/>
    <cellStyle name="Comma 3" xfId="45"/>
    <cellStyle name="Comma 3 2" xfId="90"/>
    <cellStyle name="Explanatory Text" xfId="16" builtinId="53" customBuiltin="1"/>
    <cellStyle name="Explanatory Text 2" xfId="75"/>
    <cellStyle name="Good" xfId="6" builtinId="26" customBuiltin="1"/>
    <cellStyle name="Good 2" xfId="76"/>
    <cellStyle name="Heading 1" xfId="2" builtinId="16" customBuiltin="1"/>
    <cellStyle name="Heading 1 2" xfId="77"/>
    <cellStyle name="Heading 2" xfId="3" builtinId="17" customBuiltin="1"/>
    <cellStyle name="Heading 2 2" xfId="78"/>
    <cellStyle name="Heading 3" xfId="4" builtinId="18" customBuiltin="1"/>
    <cellStyle name="Heading 3 2" xfId="79"/>
    <cellStyle name="Heading 4" xfId="5" builtinId="19" customBuiltin="1"/>
    <cellStyle name="Heading 4 2" xfId="80"/>
    <cellStyle name="Input" xfId="9" builtinId="20" customBuiltin="1"/>
    <cellStyle name="Input 2" xfId="81"/>
    <cellStyle name="Linked Cell" xfId="12" builtinId="24" customBuiltin="1"/>
    <cellStyle name="Linked Cell 2" xfId="82"/>
    <cellStyle name="Neutral" xfId="8" builtinId="28" customBuiltin="1"/>
    <cellStyle name="Neutral 2" xfId="83"/>
    <cellStyle name="Normal" xfId="0" builtinId="0"/>
    <cellStyle name="Normal 2" xfId="42"/>
    <cellStyle name="Normal 2 2" xfId="93"/>
    <cellStyle name="Normal 2 3" xfId="91"/>
    <cellStyle name="Normal 3" xfId="44"/>
    <cellStyle name="Normal 3 2" xfId="89"/>
    <cellStyle name="Note" xfId="15" builtinId="10" customBuiltin="1"/>
    <cellStyle name="Note 2" xfId="84"/>
    <cellStyle name="Output" xfId="10" builtinId="21" customBuiltin="1"/>
    <cellStyle name="Output 2" xfId="85"/>
    <cellStyle name="Percent" xfId="46" builtinId="5"/>
    <cellStyle name="Title" xfId="1" builtinId="15" customBuiltin="1"/>
    <cellStyle name="Title 2" xfId="86"/>
    <cellStyle name="Total" xfId="17" builtinId="25" customBuiltin="1"/>
    <cellStyle name="Total 2" xfId="87"/>
    <cellStyle name="Warning Text" xfId="14" builtinId="11" customBuiltin="1"/>
    <cellStyle name="Warning Text 2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NIR (mm) as Compared to ETo</a:t>
            </a:r>
          </a:p>
        </c:rich>
      </c:tx>
      <c:layout>
        <c:manualLayout>
          <c:xMode val="edge"/>
          <c:yMode val="edge"/>
          <c:x val="0.27724300087489062"/>
          <c:y val="6.0185185185185182E-2"/>
        </c:manualLayout>
      </c:layout>
      <c:overlay val="1"/>
      <c:spPr>
        <a:solidFill>
          <a:schemeClr val="bg1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CWRData!$B$21</c:f>
              <c:strCache>
                <c:ptCount val="1"/>
                <c:pt idx="0">
                  <c:v>ETo (mm)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CWRData!$C$20:$N$20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CWRData!$C$21:$N$21</c:f>
              <c:numCache>
                <c:formatCode>General</c:formatCode>
                <c:ptCount val="12"/>
                <c:pt idx="0">
                  <c:v>140.43</c:v>
                </c:pt>
                <c:pt idx="1">
                  <c:v>142.24</c:v>
                </c:pt>
                <c:pt idx="2">
                  <c:v>160.89000000000001</c:v>
                </c:pt>
                <c:pt idx="3">
                  <c:v>159.9</c:v>
                </c:pt>
                <c:pt idx="4">
                  <c:v>165.23</c:v>
                </c:pt>
                <c:pt idx="5">
                  <c:v>144.29999999999998</c:v>
                </c:pt>
                <c:pt idx="6">
                  <c:v>139.5</c:v>
                </c:pt>
                <c:pt idx="7">
                  <c:v>157.79</c:v>
                </c:pt>
                <c:pt idx="8">
                  <c:v>144.29999999999998</c:v>
                </c:pt>
                <c:pt idx="9">
                  <c:v>163.36999999999998</c:v>
                </c:pt>
                <c:pt idx="10">
                  <c:v>157.79999999999998</c:v>
                </c:pt>
                <c:pt idx="11">
                  <c:v>160.89000000000001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CWRData!$B$22</c:f>
              <c:strCache>
                <c:ptCount val="1"/>
                <c:pt idx="0">
                  <c:v>Mean Monthly RF (mm)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CWRData!$C$22:$N$22</c:f>
              <c:numCache>
                <c:formatCode>0.0</c:formatCode>
                <c:ptCount val="12"/>
                <c:pt idx="0">
                  <c:v>23.280627429530075</c:v>
                </c:pt>
                <c:pt idx="1">
                  <c:v>10.290681125148804</c:v>
                </c:pt>
                <c:pt idx="2">
                  <c:v>79.711139113220852</c:v>
                </c:pt>
                <c:pt idx="3">
                  <c:v>119.93303602423762</c:v>
                </c:pt>
                <c:pt idx="4">
                  <c:v>114.22464707964984</c:v>
                </c:pt>
                <c:pt idx="5">
                  <c:v>77.598202007806805</c:v>
                </c:pt>
                <c:pt idx="6">
                  <c:v>158.63560257828132</c:v>
                </c:pt>
                <c:pt idx="7">
                  <c:v>196.28390071167422</c:v>
                </c:pt>
                <c:pt idx="8">
                  <c:v>150.90547284039729</c:v>
                </c:pt>
                <c:pt idx="9">
                  <c:v>76.3719589730309</c:v>
                </c:pt>
                <c:pt idx="10">
                  <c:v>28.6587229685084</c:v>
                </c:pt>
                <c:pt idx="11">
                  <c:v>24.564190630239672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CWRData!$B$23</c:f>
              <c:strCache>
                <c:ptCount val="1"/>
                <c:pt idx="0">
                  <c:v> Effective RF (mm)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CWRData!$C$23:$N$23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18.3</c:v>
                </c:pt>
                <c:pt idx="3">
                  <c:v>49.8</c:v>
                </c:pt>
                <c:pt idx="4">
                  <c:v>49.2</c:v>
                </c:pt>
                <c:pt idx="5">
                  <c:v>24</c:v>
                </c:pt>
                <c:pt idx="6">
                  <c:v>49.4</c:v>
                </c:pt>
                <c:pt idx="7">
                  <c:v>65.8</c:v>
                </c:pt>
                <c:pt idx="8">
                  <c:v>54.8</c:v>
                </c:pt>
                <c:pt idx="9">
                  <c:v>25.4</c:v>
                </c:pt>
                <c:pt idx="10">
                  <c:v>3.9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CWRData!$B$25</c:f>
              <c:strCache>
                <c:ptCount val="1"/>
                <c:pt idx="0">
                  <c:v>Monthly NIR (mm)</c:v>
                </c:pt>
              </c:strCache>
            </c:strRef>
          </c:tx>
          <c:marker>
            <c:symbol val="none"/>
          </c:marker>
          <c:val>
            <c:numRef>
              <c:f>CWRData!$C$25:$N$25</c:f>
              <c:numCache>
                <c:formatCode>0.0</c:formatCode>
                <c:ptCount val="12"/>
                <c:pt idx="0">
                  <c:v>152.4</c:v>
                </c:pt>
                <c:pt idx="1">
                  <c:v>161.5</c:v>
                </c:pt>
                <c:pt idx="2">
                  <c:v>84.3</c:v>
                </c:pt>
                <c:pt idx="3">
                  <c:v>6.8</c:v>
                </c:pt>
                <c:pt idx="4">
                  <c:v>5.3</c:v>
                </c:pt>
                <c:pt idx="5">
                  <c:v>25.3</c:v>
                </c:pt>
                <c:pt idx="6">
                  <c:v>81.2</c:v>
                </c:pt>
                <c:pt idx="7">
                  <c:v>113.7</c:v>
                </c:pt>
                <c:pt idx="8">
                  <c:v>58.6</c:v>
                </c:pt>
                <c:pt idx="9">
                  <c:v>10.7</c:v>
                </c:pt>
                <c:pt idx="10">
                  <c:v>27</c:v>
                </c:pt>
                <c:pt idx="11">
                  <c:v>86.9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303688"/>
        <c:axId val="156304080"/>
      </c:lineChart>
      <c:catAx>
        <c:axId val="15630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304080"/>
        <c:crosses val="autoZero"/>
        <c:auto val="1"/>
        <c:lblAlgn val="ctr"/>
        <c:lblOffset val="100"/>
        <c:noMultiLvlLbl val="0"/>
      </c:catAx>
      <c:valAx>
        <c:axId val="156304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6303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26</xdr:row>
      <xdr:rowOff>138112</xdr:rowOff>
    </xdr:from>
    <xdr:to>
      <xdr:col>21</xdr:col>
      <xdr:colOff>152400</xdr:colOff>
      <xdr:row>46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17</xdr:row>
          <xdr:rowOff>85725</xdr:rowOff>
        </xdr:from>
        <xdr:to>
          <xdr:col>11</xdr:col>
          <xdr:colOff>219075</xdr:colOff>
          <xdr:row>19</xdr:row>
          <xdr:rowOff>142875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9525</xdr:rowOff>
    </xdr:from>
    <xdr:to>
      <xdr:col>20</xdr:col>
      <xdr:colOff>590550</xdr:colOff>
      <xdr:row>46</xdr:row>
      <xdr:rowOff>180975</xdr:rowOff>
    </xdr:to>
    <xdr:grpSp>
      <xdr:nvGrpSpPr>
        <xdr:cNvPr id="35" name="Group 34"/>
        <xdr:cNvGrpSpPr/>
      </xdr:nvGrpSpPr>
      <xdr:grpSpPr>
        <a:xfrm>
          <a:off x="11296650" y="5867400"/>
          <a:ext cx="3667125" cy="3362325"/>
          <a:chOff x="11191875" y="5867400"/>
          <a:chExt cx="3667125" cy="3362325"/>
        </a:xfrm>
      </xdr:grpSpPr>
      <xdr:grpSp>
        <xdr:nvGrpSpPr>
          <xdr:cNvPr id="25" name="Group 24"/>
          <xdr:cNvGrpSpPr/>
        </xdr:nvGrpSpPr>
        <xdr:grpSpPr>
          <a:xfrm>
            <a:off x="11191875" y="5867400"/>
            <a:ext cx="3667125" cy="3362325"/>
            <a:chOff x="11191875" y="5867400"/>
            <a:chExt cx="3667125" cy="3362325"/>
          </a:xfrm>
        </xdr:grpSpPr>
        <xdr:sp macro="" textlink="">
          <xdr:nvSpPr>
            <xdr:cNvPr id="11" name="TextBox 10"/>
            <xdr:cNvSpPr txBox="1"/>
          </xdr:nvSpPr>
          <xdr:spPr>
            <a:xfrm>
              <a:off x="11201400" y="5867400"/>
              <a:ext cx="2124075" cy="171450"/>
            </a:xfrm>
            <a:prstGeom prst="rect">
              <a:avLst/>
            </a:prstGeom>
            <a:no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Potential Spring eye assessment</a:t>
              </a:r>
            </a:p>
          </xdr:txBody>
        </xdr:sp>
        <xdr:sp macro="" textlink="">
          <xdr:nvSpPr>
            <xdr:cNvPr id="17" name="TextBox 16"/>
            <xdr:cNvSpPr txBox="1"/>
          </xdr:nvSpPr>
          <xdr:spPr>
            <a:xfrm>
              <a:off x="11201400" y="6619875"/>
              <a:ext cx="2124075" cy="171450"/>
            </a:xfrm>
            <a:prstGeom prst="rect">
              <a:avLst/>
            </a:prstGeom>
            <a:no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Trench construction</a:t>
              </a:r>
            </a:p>
          </xdr:txBody>
        </xdr:sp>
        <xdr:sp macro="" textlink="">
          <xdr:nvSpPr>
            <xdr:cNvPr id="18" name="TextBox 17"/>
            <xdr:cNvSpPr txBox="1"/>
          </xdr:nvSpPr>
          <xdr:spPr>
            <a:xfrm>
              <a:off x="11210924" y="7000874"/>
              <a:ext cx="3228975" cy="161925"/>
            </a:xfrm>
            <a:prstGeom prst="rect">
              <a:avLst/>
            </a:prstGeom>
            <a:no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Constructing spring box/tapping the spring with cover</a:t>
              </a:r>
            </a:p>
          </xdr:txBody>
        </xdr:sp>
        <xdr:sp macro="" textlink="">
          <xdr:nvSpPr>
            <xdr:cNvPr id="19" name="TextBox 18"/>
            <xdr:cNvSpPr txBox="1"/>
          </xdr:nvSpPr>
          <xdr:spPr>
            <a:xfrm>
              <a:off x="11210925" y="7400924"/>
              <a:ext cx="3371850" cy="200025"/>
            </a:xfrm>
            <a:prstGeom prst="rect">
              <a:avLst/>
            </a:prstGeom>
            <a:no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Laying pipe that leads to storage tank/Collection chamber</a:t>
              </a:r>
            </a:p>
          </xdr:txBody>
        </xdr:sp>
        <xdr:sp macro="" textlink="">
          <xdr:nvSpPr>
            <xdr:cNvPr id="20" name="TextBox 19"/>
            <xdr:cNvSpPr txBox="1"/>
          </xdr:nvSpPr>
          <xdr:spPr>
            <a:xfrm>
              <a:off x="11191875" y="7791449"/>
              <a:ext cx="3667125" cy="200025"/>
            </a:xfrm>
            <a:prstGeom prst="rect">
              <a:avLst/>
            </a:prstGeom>
            <a:no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Constructing Collection chamber (If irrigation is not 24 hrs/day)</a:t>
              </a:r>
            </a:p>
          </xdr:txBody>
        </xdr:sp>
        <xdr:sp macro="" textlink="">
          <xdr:nvSpPr>
            <xdr:cNvPr id="21" name="TextBox 20"/>
            <xdr:cNvSpPr txBox="1"/>
          </xdr:nvSpPr>
          <xdr:spPr>
            <a:xfrm>
              <a:off x="11201400" y="8220075"/>
              <a:ext cx="2609850" cy="228600"/>
            </a:xfrm>
            <a:prstGeom prst="rect">
              <a:avLst/>
            </a:prstGeom>
            <a:no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Constructing intake or pipe leading to canals</a:t>
              </a:r>
            </a:p>
          </xdr:txBody>
        </xdr:sp>
        <xdr:sp macro="" textlink="">
          <xdr:nvSpPr>
            <xdr:cNvPr id="22" name="TextBox 21"/>
            <xdr:cNvSpPr txBox="1"/>
          </xdr:nvSpPr>
          <xdr:spPr>
            <a:xfrm>
              <a:off x="11191875" y="8629650"/>
              <a:ext cx="2381250" cy="219075"/>
            </a:xfrm>
            <a:prstGeom prst="rect">
              <a:avLst/>
            </a:prstGeom>
            <a:no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Installation of overflow and drain pipes</a:t>
              </a:r>
            </a:p>
          </xdr:txBody>
        </xdr:sp>
        <xdr:sp macro="" textlink="">
          <xdr:nvSpPr>
            <xdr:cNvPr id="23" name="TextBox 22"/>
            <xdr:cNvSpPr txBox="1"/>
          </xdr:nvSpPr>
          <xdr:spPr>
            <a:xfrm>
              <a:off x="11210925" y="6238875"/>
              <a:ext cx="2124075" cy="180975"/>
            </a:xfrm>
            <a:prstGeom prst="rect">
              <a:avLst/>
            </a:prstGeom>
            <a:no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Developing/clearing the spring</a:t>
              </a:r>
            </a:p>
          </xdr:txBody>
        </xdr:sp>
        <xdr:sp macro="" textlink="">
          <xdr:nvSpPr>
            <xdr:cNvPr id="24" name="TextBox 23"/>
            <xdr:cNvSpPr txBox="1"/>
          </xdr:nvSpPr>
          <xdr:spPr>
            <a:xfrm>
              <a:off x="11220450" y="9010650"/>
              <a:ext cx="2381250" cy="219075"/>
            </a:xfrm>
            <a:prstGeom prst="rect">
              <a:avLst/>
            </a:prstGeom>
            <a:noFill/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Instrumentation &amp; Fence construction</a:t>
              </a:r>
            </a:p>
          </xdr:txBody>
        </xdr:sp>
      </xdr:grpSp>
      <xdr:grpSp>
        <xdr:nvGrpSpPr>
          <xdr:cNvPr id="34" name="Group 33"/>
          <xdr:cNvGrpSpPr/>
        </xdr:nvGrpSpPr>
        <xdr:grpSpPr>
          <a:xfrm>
            <a:off x="12068174" y="6067425"/>
            <a:ext cx="65151" cy="2992755"/>
            <a:chOff x="12068174" y="6067425"/>
            <a:chExt cx="65151" cy="2992755"/>
          </a:xfrm>
        </xdr:grpSpPr>
        <xdr:sp macro="" textlink="">
          <xdr:nvSpPr>
            <xdr:cNvPr id="26" name="Down Arrow 25"/>
            <xdr:cNvSpPr/>
          </xdr:nvSpPr>
          <xdr:spPr>
            <a:xfrm>
              <a:off x="12077699" y="6067425"/>
              <a:ext cx="36576" cy="18288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7" name="Down Arrow 26"/>
            <xdr:cNvSpPr/>
          </xdr:nvSpPr>
          <xdr:spPr>
            <a:xfrm>
              <a:off x="12077699" y="6819900"/>
              <a:ext cx="36576" cy="18288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8" name="Down Arrow 27"/>
            <xdr:cNvSpPr/>
          </xdr:nvSpPr>
          <xdr:spPr>
            <a:xfrm>
              <a:off x="12087224" y="7210425"/>
              <a:ext cx="36576" cy="18288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9" name="Down Arrow 28"/>
            <xdr:cNvSpPr/>
          </xdr:nvSpPr>
          <xdr:spPr>
            <a:xfrm>
              <a:off x="12096749" y="7591425"/>
              <a:ext cx="36576" cy="18288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0" name="Down Arrow 29"/>
            <xdr:cNvSpPr/>
          </xdr:nvSpPr>
          <xdr:spPr>
            <a:xfrm>
              <a:off x="12096749" y="8001000"/>
              <a:ext cx="36576" cy="18288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1" name="Down Arrow 30"/>
            <xdr:cNvSpPr/>
          </xdr:nvSpPr>
          <xdr:spPr>
            <a:xfrm>
              <a:off x="12087224" y="8458200"/>
              <a:ext cx="36576" cy="18288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2" name="Down Arrow 31"/>
            <xdr:cNvSpPr/>
          </xdr:nvSpPr>
          <xdr:spPr>
            <a:xfrm>
              <a:off x="12068174" y="8877300"/>
              <a:ext cx="36576" cy="18288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3" name="Down Arrow 32"/>
            <xdr:cNvSpPr/>
          </xdr:nvSpPr>
          <xdr:spPr>
            <a:xfrm>
              <a:off x="12068174" y="6438900"/>
              <a:ext cx="36576" cy="182880"/>
            </a:xfrm>
            <a:prstGeom prst="downArrow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3</xdr:col>
      <xdr:colOff>104775</xdr:colOff>
      <xdr:row>15</xdr:row>
      <xdr:rowOff>66675</xdr:rowOff>
    </xdr:from>
    <xdr:to>
      <xdr:col>10</xdr:col>
      <xdr:colOff>390525</xdr:colOff>
      <xdr:row>38</xdr:row>
      <xdr:rowOff>19050</xdr:rowOff>
    </xdr:to>
    <xdr:grpSp>
      <xdr:nvGrpSpPr>
        <xdr:cNvPr id="94" name="Group 93"/>
        <xdr:cNvGrpSpPr/>
      </xdr:nvGrpSpPr>
      <xdr:grpSpPr>
        <a:xfrm>
          <a:off x="5343525" y="3019425"/>
          <a:ext cx="4076700" cy="4429125"/>
          <a:chOff x="5343525" y="3019425"/>
          <a:chExt cx="4000500" cy="4429125"/>
        </a:xfrm>
      </xdr:grpSpPr>
      <xdr:grpSp>
        <xdr:nvGrpSpPr>
          <xdr:cNvPr id="54" name="Group 53"/>
          <xdr:cNvGrpSpPr/>
        </xdr:nvGrpSpPr>
        <xdr:grpSpPr>
          <a:xfrm>
            <a:off x="6296025" y="3019425"/>
            <a:ext cx="3048000" cy="4429125"/>
            <a:chOff x="6296025" y="3019425"/>
            <a:chExt cx="3048000" cy="4429125"/>
          </a:xfrm>
        </xdr:grpSpPr>
        <xdr:grpSp>
          <xdr:nvGrpSpPr>
            <xdr:cNvPr id="48" name="Group 47"/>
            <xdr:cNvGrpSpPr/>
          </xdr:nvGrpSpPr>
          <xdr:grpSpPr>
            <a:xfrm>
              <a:off x="6296025" y="3105150"/>
              <a:ext cx="3048000" cy="4200525"/>
              <a:chOff x="6296025" y="3105150"/>
              <a:chExt cx="3048000" cy="4200525"/>
            </a:xfrm>
          </xdr:grpSpPr>
          <xdr:grpSp>
            <xdr:nvGrpSpPr>
              <xdr:cNvPr id="44" name="Group 43"/>
              <xdr:cNvGrpSpPr/>
            </xdr:nvGrpSpPr>
            <xdr:grpSpPr>
              <a:xfrm>
                <a:off x="6296025" y="3105150"/>
                <a:ext cx="2838450" cy="4200525"/>
                <a:chOff x="6296025" y="3105150"/>
                <a:chExt cx="2838450" cy="4200525"/>
              </a:xfrm>
            </xdr:grpSpPr>
            <xdr:grpSp>
              <xdr:nvGrpSpPr>
                <xdr:cNvPr id="40" name="Group 39"/>
                <xdr:cNvGrpSpPr/>
              </xdr:nvGrpSpPr>
              <xdr:grpSpPr>
                <a:xfrm>
                  <a:off x="6296025" y="3105150"/>
                  <a:ext cx="2838450" cy="4200525"/>
                  <a:chOff x="6296025" y="3105150"/>
                  <a:chExt cx="2838450" cy="4200525"/>
                </a:xfrm>
              </xdr:grpSpPr>
              <xdr:grpSp>
                <xdr:nvGrpSpPr>
                  <xdr:cNvPr id="12" name="Group 11"/>
                  <xdr:cNvGrpSpPr/>
                </xdr:nvGrpSpPr>
                <xdr:grpSpPr>
                  <a:xfrm>
                    <a:off x="6296025" y="3219450"/>
                    <a:ext cx="2428875" cy="4086225"/>
                    <a:chOff x="7962900" y="2552700"/>
                    <a:chExt cx="2428875" cy="4086225"/>
                  </a:xfrm>
                </xdr:grpSpPr>
                <xdr:pic>
                  <xdr:nvPicPr>
                    <xdr:cNvPr id="3" name="Picture 50"/>
                    <xdr:cNvPicPr>
                      <a:picLocks noChangeAspect="1" noChangeArrowheads="1"/>
                    </xdr:cNvPicPr>
                  </xdr:nvPicPr>
                  <xdr:blipFill>
                    <a:blip xmlns:r="http://schemas.openxmlformats.org/officeDocument/2006/relationships" r:embed="rId1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/>
                    <a:stretch>
                      <a:fillRect/>
                    </a:stretch>
                  </xdr:blipFill>
                  <xdr:spPr bwMode="auto">
                    <a:xfrm>
                      <a:off x="7962900" y="2552700"/>
                      <a:ext cx="2428875" cy="408622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  <a:ext uri="{91240B29-F687-4F45-9708-019B960494DF}">
                        <a14:hiddenLine xmlns:a14="http://schemas.microsoft.com/office/drawing/2010/main"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pic>
                <xdr:cxnSp macro="">
                  <xdr:nvCxnSpPr>
                    <xdr:cNvPr id="4" name="Straight Connector 3"/>
                    <xdr:cNvCxnSpPr/>
                  </xdr:nvCxnSpPr>
                  <xdr:spPr>
                    <a:xfrm flipH="1" flipV="1">
                      <a:off x="8010525" y="2562226"/>
                      <a:ext cx="533400" cy="590549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6" name="Straight Connector 5"/>
                    <xdr:cNvCxnSpPr/>
                  </xdr:nvCxnSpPr>
                  <xdr:spPr>
                    <a:xfrm flipV="1">
                      <a:off x="8020050" y="4438652"/>
                      <a:ext cx="514350" cy="590548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" name="Straight Connector 6"/>
                    <xdr:cNvCxnSpPr/>
                  </xdr:nvCxnSpPr>
                  <xdr:spPr>
                    <a:xfrm flipH="1" flipV="1">
                      <a:off x="9725025" y="4448177"/>
                      <a:ext cx="590550" cy="581023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" name="Straight Connector 9"/>
                    <xdr:cNvCxnSpPr/>
                  </xdr:nvCxnSpPr>
                  <xdr:spPr>
                    <a:xfrm flipV="1">
                      <a:off x="9734550" y="2562226"/>
                      <a:ext cx="581025" cy="590549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14" name="Minus 13"/>
                  <xdr:cNvSpPr/>
                </xdr:nvSpPr>
                <xdr:spPr>
                  <a:xfrm>
                    <a:off x="7972425" y="4657725"/>
                    <a:ext cx="1162050" cy="371475"/>
                  </a:xfrm>
                  <a:prstGeom prst="mathMinus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marL="0" indent="0" algn="l"/>
                    <a:endParaRPr lang="en-US"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15" name="Minus 14"/>
                  <xdr:cNvSpPr/>
                </xdr:nvSpPr>
                <xdr:spPr>
                  <a:xfrm>
                    <a:off x="8124825" y="4457700"/>
                    <a:ext cx="1005840" cy="371475"/>
                  </a:xfrm>
                  <a:prstGeom prst="mathMinus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marL="0" indent="0" algn="l"/>
                    <a:endParaRPr lang="en-US"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endParaRPr>
                  </a:p>
                </xdr:txBody>
              </xdr:sp>
              <xdr:sp macro="" textlink="">
                <xdr:nvSpPr>
                  <xdr:cNvPr id="16" name="Minus 15"/>
                  <xdr:cNvSpPr/>
                </xdr:nvSpPr>
                <xdr:spPr>
                  <a:xfrm>
                    <a:off x="8077200" y="3790950"/>
                    <a:ext cx="1005840" cy="371475"/>
                  </a:xfrm>
                  <a:prstGeom prst="mathMinus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marL="0" indent="0" algn="l"/>
                    <a:endParaRPr lang="en-US"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endParaRPr>
                  </a:p>
                </xdr:txBody>
              </xdr:sp>
              <xdr:grpSp>
                <xdr:nvGrpSpPr>
                  <xdr:cNvPr id="8" name="Group 7"/>
                  <xdr:cNvGrpSpPr/>
                </xdr:nvGrpSpPr>
                <xdr:grpSpPr>
                  <a:xfrm>
                    <a:off x="7553325" y="3105150"/>
                    <a:ext cx="182880" cy="91440"/>
                    <a:chOff x="9858375" y="3152775"/>
                    <a:chExt cx="182880" cy="91440"/>
                  </a:xfrm>
                </xdr:grpSpPr>
                <xdr:cxnSp macro="">
                  <xdr:nvCxnSpPr>
                    <xdr:cNvPr id="5" name="Straight Connector 4"/>
                    <xdr:cNvCxnSpPr/>
                  </xdr:nvCxnSpPr>
                  <xdr:spPr>
                    <a:xfrm>
                      <a:off x="9858375" y="3152775"/>
                      <a:ext cx="0" cy="914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6" name="Straight Connector 35"/>
                    <xdr:cNvCxnSpPr/>
                  </xdr:nvCxnSpPr>
                  <xdr:spPr>
                    <a:xfrm rot="16200000">
                      <a:off x="9949815" y="3061335"/>
                      <a:ext cx="0" cy="182880"/>
                    </a:xfrm>
                    <a:prstGeom prst="line">
                      <a:avLst/>
                    </a:prstGeom>
                    <a:ln>
                      <a:headEnd type="none" w="med" len="med"/>
                      <a:tailEnd type="triangle" w="med" len="med"/>
                    </a:ln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37" name="Group 36"/>
                  <xdr:cNvGrpSpPr/>
                </xdr:nvGrpSpPr>
                <xdr:grpSpPr>
                  <a:xfrm>
                    <a:off x="7553325" y="5724525"/>
                    <a:ext cx="182880" cy="91440"/>
                    <a:chOff x="9858375" y="3286125"/>
                    <a:chExt cx="182880" cy="91440"/>
                  </a:xfrm>
                </xdr:grpSpPr>
                <xdr:cxnSp macro="">
                  <xdr:nvCxnSpPr>
                    <xdr:cNvPr id="38" name="Straight Connector 37"/>
                    <xdr:cNvCxnSpPr/>
                  </xdr:nvCxnSpPr>
                  <xdr:spPr>
                    <a:xfrm>
                      <a:off x="9858375" y="3286125"/>
                      <a:ext cx="0" cy="914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9" name="Straight Connector 38"/>
                    <xdr:cNvCxnSpPr/>
                  </xdr:nvCxnSpPr>
                  <xdr:spPr>
                    <a:xfrm rot="16200000">
                      <a:off x="9949815" y="3280410"/>
                      <a:ext cx="0" cy="182880"/>
                    </a:xfrm>
                    <a:prstGeom prst="line">
                      <a:avLst/>
                    </a:prstGeom>
                    <a:ln>
                      <a:headEnd type="none" w="med" len="med"/>
                      <a:tailEnd type="triangle" w="med" len="med"/>
                    </a:ln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  <xdr:sp macro="" textlink="">
              <xdr:nvSpPr>
                <xdr:cNvPr id="41" name="Oval 40"/>
                <xdr:cNvSpPr/>
              </xdr:nvSpPr>
              <xdr:spPr>
                <a:xfrm>
                  <a:off x="6867525" y="6819900"/>
                  <a:ext cx="142875" cy="171450"/>
                </a:xfrm>
                <a:prstGeom prst="ellipse">
                  <a:avLst/>
                </a:prstGeom>
                <a:noFill/>
                <a:ln w="1270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2" name="Oval 41"/>
                <xdr:cNvSpPr/>
              </xdr:nvSpPr>
              <xdr:spPr>
                <a:xfrm>
                  <a:off x="7924800" y="6972300"/>
                  <a:ext cx="114300" cy="133350"/>
                </a:xfrm>
                <a:prstGeom prst="ellipse">
                  <a:avLst/>
                </a:prstGeom>
                <a:noFill/>
                <a:ln w="1270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3" name="Oval 42"/>
                <xdr:cNvSpPr/>
              </xdr:nvSpPr>
              <xdr:spPr>
                <a:xfrm>
                  <a:off x="7915275" y="6305550"/>
                  <a:ext cx="142875" cy="171450"/>
                </a:xfrm>
                <a:prstGeom prst="ellipse">
                  <a:avLst/>
                </a:prstGeom>
                <a:noFill/>
                <a:ln w="1270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</xdr:grpSp>
          <xdr:sp macro="" textlink="">
            <xdr:nvSpPr>
              <xdr:cNvPr id="45" name="TextBox 44"/>
              <xdr:cNvSpPr txBox="1"/>
            </xdr:nvSpPr>
            <xdr:spPr>
              <a:xfrm>
                <a:off x="8667751" y="3590925"/>
                <a:ext cx="676274" cy="3619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r>
                  <a:rPr lang="en-US" sz="1100"/>
                  <a:t>Outlet flow to Canal</a:t>
                </a:r>
              </a:p>
            </xdr:txBody>
          </xdr:sp>
          <xdr:sp macro="" textlink="">
            <xdr:nvSpPr>
              <xdr:cNvPr id="46" name="TextBox 45"/>
              <xdr:cNvSpPr txBox="1"/>
            </xdr:nvSpPr>
            <xdr:spPr>
              <a:xfrm>
                <a:off x="8686801" y="4371975"/>
                <a:ext cx="581024" cy="19050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r>
                  <a:rPr lang="en-US" sz="1100"/>
                  <a:t>Overflow</a:t>
                </a:r>
              </a:p>
            </xdr:txBody>
          </xdr:sp>
          <xdr:sp macro="" textlink="">
            <xdr:nvSpPr>
              <xdr:cNvPr id="47" name="TextBox 46"/>
              <xdr:cNvSpPr txBox="1"/>
            </xdr:nvSpPr>
            <xdr:spPr>
              <a:xfrm>
                <a:off x="8724901" y="4924424"/>
                <a:ext cx="581024" cy="35242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r>
                  <a:rPr lang="en-US" sz="1100"/>
                  <a:t>Flashing Drainage</a:t>
                </a:r>
              </a:p>
            </xdr:txBody>
          </xdr:sp>
        </xdr:grpSp>
        <xdr:sp macro="" textlink="">
          <xdr:nvSpPr>
            <xdr:cNvPr id="49" name="TextBox 48"/>
            <xdr:cNvSpPr txBox="1"/>
          </xdr:nvSpPr>
          <xdr:spPr>
            <a:xfrm>
              <a:off x="7153275" y="7286625"/>
              <a:ext cx="723900" cy="161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Section A-A</a:t>
              </a:r>
            </a:p>
          </xdr:txBody>
        </xdr:sp>
        <xdr:sp macro="" textlink="">
          <xdr:nvSpPr>
            <xdr:cNvPr id="50" name="TextBox 49"/>
            <xdr:cNvSpPr txBox="1"/>
          </xdr:nvSpPr>
          <xdr:spPr>
            <a:xfrm>
              <a:off x="6810375" y="5705475"/>
              <a:ext cx="723900" cy="1619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Plan</a:t>
              </a:r>
            </a:p>
          </xdr:txBody>
        </xdr:sp>
        <xdr:sp macro="" textlink="">
          <xdr:nvSpPr>
            <xdr:cNvPr id="52" name="TextBox 51"/>
            <xdr:cNvSpPr txBox="1"/>
          </xdr:nvSpPr>
          <xdr:spPr>
            <a:xfrm>
              <a:off x="7772400" y="3019425"/>
              <a:ext cx="152400" cy="1524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A</a:t>
              </a:r>
            </a:p>
          </xdr:txBody>
        </xdr:sp>
        <xdr:sp macro="" textlink="">
          <xdr:nvSpPr>
            <xdr:cNvPr id="53" name="TextBox 52"/>
            <xdr:cNvSpPr txBox="1"/>
          </xdr:nvSpPr>
          <xdr:spPr>
            <a:xfrm>
              <a:off x="7781925" y="5724525"/>
              <a:ext cx="152400" cy="1524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r>
                <a:rPr lang="en-US" sz="1100"/>
                <a:t>A</a:t>
              </a:r>
            </a:p>
          </xdr:txBody>
        </xdr:sp>
      </xdr:grpSp>
      <xdr:grpSp>
        <xdr:nvGrpSpPr>
          <xdr:cNvPr id="65" name="Group 64"/>
          <xdr:cNvGrpSpPr/>
        </xdr:nvGrpSpPr>
        <xdr:grpSpPr>
          <a:xfrm>
            <a:off x="5343525" y="4332922"/>
            <a:ext cx="1009650" cy="1177290"/>
            <a:chOff x="10191750" y="2885122"/>
            <a:chExt cx="1009650" cy="1177290"/>
          </a:xfrm>
        </xdr:grpSpPr>
        <xdr:cxnSp macro="">
          <xdr:nvCxnSpPr>
            <xdr:cNvPr id="9" name="Straight Connector 8"/>
            <xdr:cNvCxnSpPr/>
          </xdr:nvCxnSpPr>
          <xdr:spPr>
            <a:xfrm flipV="1">
              <a:off x="10334625" y="3362325"/>
              <a:ext cx="866775" cy="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5" name="Straight Connector 54"/>
            <xdr:cNvCxnSpPr/>
          </xdr:nvCxnSpPr>
          <xdr:spPr>
            <a:xfrm flipV="1">
              <a:off x="10334625" y="3581400"/>
              <a:ext cx="866775" cy="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6" name="Straight Connector 55"/>
            <xdr:cNvCxnSpPr/>
          </xdr:nvCxnSpPr>
          <xdr:spPr>
            <a:xfrm flipV="1">
              <a:off x="10325100" y="3629025"/>
              <a:ext cx="866775" cy="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7" name="Straight Connector 56"/>
            <xdr:cNvCxnSpPr/>
          </xdr:nvCxnSpPr>
          <xdr:spPr>
            <a:xfrm flipV="1">
              <a:off x="10334625" y="3324225"/>
              <a:ext cx="866775" cy="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8" name="Straight Connector 57"/>
            <xdr:cNvCxnSpPr/>
          </xdr:nvCxnSpPr>
          <xdr:spPr>
            <a:xfrm rot="16200000" flipV="1">
              <a:off x="10055542" y="3788092"/>
              <a:ext cx="548640" cy="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9" name="Straight Connector 58"/>
            <xdr:cNvCxnSpPr/>
          </xdr:nvCxnSpPr>
          <xdr:spPr>
            <a:xfrm rot="16200000" flipV="1">
              <a:off x="10055542" y="3159442"/>
              <a:ext cx="548640" cy="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0" name="Straight Connector 59"/>
            <xdr:cNvCxnSpPr/>
          </xdr:nvCxnSpPr>
          <xdr:spPr>
            <a:xfrm rot="10800000" flipV="1">
              <a:off x="10191750" y="3469958"/>
              <a:ext cx="274320" cy="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2" name="Straight Connector 61"/>
            <xdr:cNvCxnSpPr/>
          </xdr:nvCxnSpPr>
          <xdr:spPr>
            <a:xfrm flipH="1">
              <a:off x="10325100" y="3467100"/>
              <a:ext cx="128588" cy="52388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3" name="Straight Connector 62"/>
            <xdr:cNvCxnSpPr/>
          </xdr:nvCxnSpPr>
          <xdr:spPr>
            <a:xfrm flipH="1">
              <a:off x="10201275" y="3438525"/>
              <a:ext cx="131445" cy="28575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66" name="TextBox 65"/>
          <xdr:cNvSpPr txBox="1"/>
        </xdr:nvSpPr>
        <xdr:spPr>
          <a:xfrm>
            <a:off x="5629274" y="4362450"/>
            <a:ext cx="409575" cy="352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en-US" sz="1100"/>
              <a:t>Canal Inflow</a:t>
            </a:r>
          </a:p>
        </xdr:txBody>
      </xdr:sp>
      <xdr:sp macro="" textlink="">
        <xdr:nvSpPr>
          <xdr:cNvPr id="67" name="TextBox 66"/>
          <xdr:cNvSpPr txBox="1"/>
        </xdr:nvSpPr>
        <xdr:spPr>
          <a:xfrm>
            <a:off x="6419849" y="4381500"/>
            <a:ext cx="409575" cy="352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en-US" sz="1100"/>
              <a:t>Chute Inlet</a:t>
            </a:r>
          </a:p>
        </xdr:txBody>
      </xdr:sp>
      <xdr:sp macro="" textlink="">
        <xdr:nvSpPr>
          <xdr:cNvPr id="68" name="TextBox 67"/>
          <xdr:cNvSpPr txBox="1"/>
        </xdr:nvSpPr>
        <xdr:spPr>
          <a:xfrm>
            <a:off x="6934199" y="4371975"/>
            <a:ext cx="409575" cy="3524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en-US" sz="1100"/>
              <a:t>Stilling basin</a:t>
            </a:r>
          </a:p>
        </xdr:txBody>
      </xdr:sp>
      <xdr:grpSp>
        <xdr:nvGrpSpPr>
          <xdr:cNvPr id="82" name="Group 81"/>
          <xdr:cNvGrpSpPr/>
        </xdr:nvGrpSpPr>
        <xdr:grpSpPr>
          <a:xfrm>
            <a:off x="6865622" y="4714875"/>
            <a:ext cx="421003" cy="428624"/>
            <a:chOff x="10570847" y="4266386"/>
            <a:chExt cx="811531" cy="515163"/>
          </a:xfrm>
        </xdr:grpSpPr>
        <xdr:grpSp>
          <xdr:nvGrpSpPr>
            <xdr:cNvPr id="80" name="Group 79"/>
            <xdr:cNvGrpSpPr/>
          </xdr:nvGrpSpPr>
          <xdr:grpSpPr>
            <a:xfrm>
              <a:off x="10570847" y="4266386"/>
              <a:ext cx="811531" cy="515163"/>
              <a:chOff x="10456545" y="4386853"/>
              <a:chExt cx="882968" cy="316591"/>
            </a:xfrm>
          </xdr:grpSpPr>
          <xdr:grpSp>
            <xdr:nvGrpSpPr>
              <xdr:cNvPr id="69" name="Group 68"/>
              <xdr:cNvGrpSpPr/>
            </xdr:nvGrpSpPr>
            <xdr:grpSpPr>
              <a:xfrm>
                <a:off x="10458450" y="4386853"/>
                <a:ext cx="881063" cy="314687"/>
                <a:chOff x="10325100" y="3319100"/>
                <a:chExt cx="881063" cy="314687"/>
              </a:xfrm>
            </xdr:grpSpPr>
            <xdr:cxnSp macro="">
              <xdr:nvCxnSpPr>
                <xdr:cNvPr id="70" name="Straight Connector 69"/>
                <xdr:cNvCxnSpPr/>
              </xdr:nvCxnSpPr>
              <xdr:spPr>
                <a:xfrm flipV="1">
                  <a:off x="10334625" y="3362325"/>
                  <a:ext cx="866775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1" name="Straight Connector 70"/>
                <xdr:cNvCxnSpPr/>
              </xdr:nvCxnSpPr>
              <xdr:spPr>
                <a:xfrm flipV="1">
                  <a:off x="10334625" y="3581400"/>
                  <a:ext cx="866775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2" name="Straight Connector 71"/>
                <xdr:cNvCxnSpPr/>
              </xdr:nvCxnSpPr>
              <xdr:spPr>
                <a:xfrm flipV="1">
                  <a:off x="10325100" y="3629025"/>
                  <a:ext cx="866775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3" name="Straight Connector 72"/>
                <xdr:cNvCxnSpPr/>
              </xdr:nvCxnSpPr>
              <xdr:spPr>
                <a:xfrm flipV="1">
                  <a:off x="10334625" y="3324225"/>
                  <a:ext cx="866775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5" name="Straight Connector 74"/>
                <xdr:cNvCxnSpPr/>
              </xdr:nvCxnSpPr>
              <xdr:spPr>
                <a:xfrm rot="16200000" flipV="1">
                  <a:off x="11048819" y="3476444"/>
                  <a:ext cx="314687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79" name="Straight Connector 78"/>
              <xdr:cNvCxnSpPr/>
            </xdr:nvCxnSpPr>
            <xdr:spPr>
              <a:xfrm rot="10800000" flipV="1">
                <a:off x="10456545" y="4388758"/>
                <a:ext cx="0" cy="314686"/>
              </a:xfrm>
              <a:prstGeom prst="line">
                <a:avLst/>
              </a:prstGeom>
              <a:ln w="1905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1" name="Straight Connector 80"/>
            <xdr:cNvCxnSpPr/>
          </xdr:nvCxnSpPr>
          <xdr:spPr>
            <a:xfrm rot="10800000" flipV="1">
              <a:off x="11326534" y="4333279"/>
              <a:ext cx="0" cy="36576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84" name="Group 83"/>
          <xdr:cNvGrpSpPr/>
        </xdr:nvGrpSpPr>
        <xdr:grpSpPr>
          <a:xfrm>
            <a:off x="6353175" y="4791075"/>
            <a:ext cx="514350" cy="266699"/>
            <a:chOff x="10456545" y="4386853"/>
            <a:chExt cx="882968" cy="316591"/>
          </a:xfrm>
        </xdr:grpSpPr>
        <xdr:grpSp>
          <xdr:nvGrpSpPr>
            <xdr:cNvPr id="86" name="Group 85"/>
            <xdr:cNvGrpSpPr/>
          </xdr:nvGrpSpPr>
          <xdr:grpSpPr>
            <a:xfrm>
              <a:off x="10458450" y="4386853"/>
              <a:ext cx="881063" cy="314687"/>
              <a:chOff x="10325100" y="3319100"/>
              <a:chExt cx="881063" cy="314687"/>
            </a:xfrm>
          </xdr:grpSpPr>
          <xdr:cxnSp macro="">
            <xdr:nvCxnSpPr>
              <xdr:cNvPr id="88" name="Straight Connector 87"/>
              <xdr:cNvCxnSpPr/>
            </xdr:nvCxnSpPr>
            <xdr:spPr>
              <a:xfrm flipV="1">
                <a:off x="10334625" y="3362325"/>
                <a:ext cx="866775" cy="0"/>
              </a:xfrm>
              <a:prstGeom prst="line">
                <a:avLst/>
              </a:prstGeom>
              <a:ln w="1905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89" name="Straight Connector 88"/>
              <xdr:cNvCxnSpPr/>
            </xdr:nvCxnSpPr>
            <xdr:spPr>
              <a:xfrm flipV="1">
                <a:off x="10334625" y="3581400"/>
                <a:ext cx="866775" cy="0"/>
              </a:xfrm>
              <a:prstGeom prst="line">
                <a:avLst/>
              </a:prstGeom>
              <a:ln w="1905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90" name="Straight Connector 89"/>
              <xdr:cNvCxnSpPr/>
            </xdr:nvCxnSpPr>
            <xdr:spPr>
              <a:xfrm flipV="1">
                <a:off x="10325100" y="3629025"/>
                <a:ext cx="866775" cy="0"/>
              </a:xfrm>
              <a:prstGeom prst="line">
                <a:avLst/>
              </a:prstGeom>
              <a:ln w="1905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91" name="Straight Connector 90"/>
              <xdr:cNvCxnSpPr/>
            </xdr:nvCxnSpPr>
            <xdr:spPr>
              <a:xfrm flipV="1">
                <a:off x="10334625" y="3324225"/>
                <a:ext cx="866775" cy="0"/>
              </a:xfrm>
              <a:prstGeom prst="line">
                <a:avLst/>
              </a:prstGeom>
              <a:ln w="1905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92" name="Straight Connector 91"/>
              <xdr:cNvCxnSpPr/>
            </xdr:nvCxnSpPr>
            <xdr:spPr>
              <a:xfrm rot="16200000" flipV="1">
                <a:off x="11048819" y="3476444"/>
                <a:ext cx="314687" cy="0"/>
              </a:xfrm>
              <a:prstGeom prst="line">
                <a:avLst/>
              </a:prstGeom>
              <a:ln w="1905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7" name="Straight Connector 86"/>
            <xdr:cNvCxnSpPr/>
          </xdr:nvCxnSpPr>
          <xdr:spPr>
            <a:xfrm rot="10800000" flipV="1">
              <a:off x="10456545" y="4388758"/>
              <a:ext cx="0" cy="314686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14</xdr:col>
      <xdr:colOff>0</xdr:colOff>
      <xdr:row>11</xdr:row>
      <xdr:rowOff>114300</xdr:rowOff>
    </xdr:from>
    <xdr:to>
      <xdr:col>21</xdr:col>
      <xdr:colOff>180975</xdr:colOff>
      <xdr:row>18</xdr:row>
      <xdr:rowOff>85725</xdr:rowOff>
    </xdr:to>
    <xdr:grpSp>
      <xdr:nvGrpSpPr>
        <xdr:cNvPr id="193" name="Group 192"/>
        <xdr:cNvGrpSpPr/>
      </xdr:nvGrpSpPr>
      <xdr:grpSpPr>
        <a:xfrm>
          <a:off x="10725150" y="2286000"/>
          <a:ext cx="4438650" cy="1371600"/>
          <a:chOff x="10725150" y="2286000"/>
          <a:chExt cx="4438650" cy="1371600"/>
        </a:xfrm>
      </xdr:grpSpPr>
      <xdr:grpSp>
        <xdr:nvGrpSpPr>
          <xdr:cNvPr id="191" name="Group 190"/>
          <xdr:cNvGrpSpPr/>
        </xdr:nvGrpSpPr>
        <xdr:grpSpPr>
          <a:xfrm>
            <a:off x="10725150" y="2286000"/>
            <a:ext cx="4438650" cy="1371600"/>
            <a:chOff x="10725150" y="2286000"/>
            <a:chExt cx="4438650" cy="1371600"/>
          </a:xfrm>
        </xdr:grpSpPr>
        <xdr:grpSp>
          <xdr:nvGrpSpPr>
            <xdr:cNvPr id="180" name="Group 179"/>
            <xdr:cNvGrpSpPr/>
          </xdr:nvGrpSpPr>
          <xdr:grpSpPr>
            <a:xfrm>
              <a:off x="10725150" y="2286000"/>
              <a:ext cx="4438650" cy="1371600"/>
              <a:chOff x="10620375" y="2286000"/>
              <a:chExt cx="4438650" cy="1371600"/>
            </a:xfrm>
          </xdr:grpSpPr>
          <xdr:grpSp>
            <xdr:nvGrpSpPr>
              <xdr:cNvPr id="95" name="Group 94"/>
              <xdr:cNvGrpSpPr/>
            </xdr:nvGrpSpPr>
            <xdr:grpSpPr>
              <a:xfrm>
                <a:off x="10620375" y="2286000"/>
                <a:ext cx="4438650" cy="1371600"/>
                <a:chOff x="114300" y="6143625"/>
                <a:chExt cx="4006215" cy="1371600"/>
              </a:xfrm>
            </xdr:grpSpPr>
            <xdr:grpSp>
              <xdr:nvGrpSpPr>
                <xdr:cNvPr id="96" name="Group 95"/>
                <xdr:cNvGrpSpPr/>
              </xdr:nvGrpSpPr>
              <xdr:grpSpPr>
                <a:xfrm>
                  <a:off x="114300" y="6143625"/>
                  <a:ext cx="4006215" cy="1371600"/>
                  <a:chOff x="0" y="-76200"/>
                  <a:chExt cx="4006215" cy="1371600"/>
                </a:xfrm>
              </xdr:grpSpPr>
              <xdr:grpSp>
                <xdr:nvGrpSpPr>
                  <xdr:cNvPr id="98" name="Group 97"/>
                  <xdr:cNvGrpSpPr/>
                </xdr:nvGrpSpPr>
                <xdr:grpSpPr>
                  <a:xfrm>
                    <a:off x="0" y="-76200"/>
                    <a:ext cx="4006215" cy="1371600"/>
                    <a:chOff x="0" y="-76200"/>
                    <a:chExt cx="4006533" cy="1371600"/>
                  </a:xfrm>
                </xdr:grpSpPr>
                <xdr:grpSp>
                  <xdr:nvGrpSpPr>
                    <xdr:cNvPr id="100" name="Group 99"/>
                    <xdr:cNvGrpSpPr/>
                  </xdr:nvGrpSpPr>
                  <xdr:grpSpPr>
                    <a:xfrm>
                      <a:off x="0" y="123825"/>
                      <a:ext cx="3519169" cy="1011555"/>
                      <a:chOff x="0" y="0"/>
                      <a:chExt cx="3519169" cy="1011555"/>
                    </a:xfrm>
                  </xdr:grpSpPr>
                  <xdr:grpSp>
                    <xdr:nvGrpSpPr>
                      <xdr:cNvPr id="110" name="Group 109"/>
                      <xdr:cNvGrpSpPr/>
                    </xdr:nvGrpSpPr>
                    <xdr:grpSpPr>
                      <a:xfrm>
                        <a:off x="0" y="0"/>
                        <a:ext cx="3519169" cy="1011555"/>
                        <a:chOff x="0" y="0"/>
                        <a:chExt cx="3519169" cy="1011555"/>
                      </a:xfrm>
                    </xdr:grpSpPr>
                    <xdr:grpSp>
                      <xdr:nvGrpSpPr>
                        <xdr:cNvPr id="113" name="Group 112"/>
                        <xdr:cNvGrpSpPr/>
                      </xdr:nvGrpSpPr>
                      <xdr:grpSpPr>
                        <a:xfrm>
                          <a:off x="0" y="85725"/>
                          <a:ext cx="2223368" cy="918845"/>
                          <a:chOff x="0" y="0"/>
                          <a:chExt cx="2223368" cy="918845"/>
                        </a:xfrm>
                      </xdr:grpSpPr>
                      <xdr:grpSp>
                        <xdr:nvGrpSpPr>
                          <xdr:cNvPr id="131" name="Group 130"/>
                          <xdr:cNvGrpSpPr/>
                        </xdr:nvGrpSpPr>
                        <xdr:grpSpPr>
                          <a:xfrm>
                            <a:off x="0" y="0"/>
                            <a:ext cx="2223368" cy="918845"/>
                            <a:chOff x="0" y="0"/>
                            <a:chExt cx="2223368" cy="919163"/>
                          </a:xfrm>
                        </xdr:grpSpPr>
                        <xdr:grpSp>
                          <xdr:nvGrpSpPr>
                            <xdr:cNvPr id="141" name="Group 140"/>
                            <xdr:cNvGrpSpPr/>
                          </xdr:nvGrpSpPr>
                          <xdr:grpSpPr>
                            <a:xfrm>
                              <a:off x="0" y="147638"/>
                              <a:ext cx="770890" cy="771525"/>
                              <a:chOff x="0" y="0"/>
                              <a:chExt cx="771207" cy="771525"/>
                            </a:xfrm>
                          </xdr:grpSpPr>
                          <xdr:grpSp>
                            <xdr:nvGrpSpPr>
                              <xdr:cNvPr id="151" name="Group 150"/>
                              <xdr:cNvGrpSpPr/>
                            </xdr:nvGrpSpPr>
                            <xdr:grpSpPr>
                              <a:xfrm>
                                <a:off x="0" y="0"/>
                                <a:ext cx="771207" cy="771525"/>
                                <a:chOff x="0" y="0"/>
                                <a:chExt cx="771207" cy="771525"/>
                              </a:xfrm>
                            </xdr:grpSpPr>
                            <xdr:grpSp>
                              <xdr:nvGrpSpPr>
                                <xdr:cNvPr id="161" name="Group 160"/>
                                <xdr:cNvGrpSpPr/>
                              </xdr:nvGrpSpPr>
                              <xdr:grpSpPr>
                                <a:xfrm>
                                  <a:off x="0" y="0"/>
                                  <a:ext cx="771207" cy="762000"/>
                                  <a:chOff x="0" y="0"/>
                                  <a:chExt cx="771207" cy="762000"/>
                                </a:xfrm>
                              </xdr:grpSpPr>
                              <xdr:cxnSp macro="">
                                <xdr:nvCxnSpPr>
                                  <xdr:cNvPr id="171" name="Straight Connector 170"/>
                                  <xdr:cNvCxnSpPr/>
                                </xdr:nvCxnSpPr>
                                <xdr:spPr>
                                  <a:xfrm>
                                    <a:off x="9842" y="0"/>
                                    <a:ext cx="761365" cy="0"/>
                                  </a:xfrm>
                                  <a:prstGeom prst="line">
                                    <a:avLst/>
                                  </a:prstGeom>
                                  <a:ln/>
                                </xdr:spPr>
                                <xdr:style>
                                  <a:lnRef idx="2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1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72" name="Straight Connector 171"/>
                                  <xdr:cNvCxnSpPr/>
                                </xdr:nvCxnSpPr>
                                <xdr:spPr>
                                  <a:xfrm>
                                    <a:off x="761999" y="317"/>
                                    <a:ext cx="0" cy="761365"/>
                                  </a:xfrm>
                                  <a:prstGeom prst="line">
                                    <a:avLst/>
                                  </a:prstGeom>
                                  <a:ln/>
                                </xdr:spPr>
                                <xdr:style>
                                  <a:lnRef idx="2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1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73" name="Straight Connector 172"/>
                                  <xdr:cNvCxnSpPr/>
                                </xdr:nvCxnSpPr>
                                <xdr:spPr>
                                  <a:xfrm>
                                    <a:off x="9842" y="762000"/>
                                    <a:ext cx="761365" cy="0"/>
                                  </a:xfrm>
                                  <a:prstGeom prst="line">
                                    <a:avLst/>
                                  </a:prstGeom>
                                  <a:ln/>
                                </xdr:spPr>
                                <xdr:style>
                                  <a:lnRef idx="2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1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74" name="Straight Connector 173"/>
                                  <xdr:cNvCxnSpPr/>
                                </xdr:nvCxnSpPr>
                                <xdr:spPr>
                                  <a:xfrm>
                                    <a:off x="0" y="317"/>
                                    <a:ext cx="0" cy="761365"/>
                                  </a:xfrm>
                                  <a:prstGeom prst="line">
                                    <a:avLst/>
                                  </a:prstGeom>
                                  <a:ln/>
                                </xdr:spPr>
                                <xdr:style>
                                  <a:lnRef idx="2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1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  <xdr:grpSp>
                              <xdr:nvGrpSpPr>
                                <xdr:cNvPr id="162" name="Group 161"/>
                                <xdr:cNvGrpSpPr/>
                              </xdr:nvGrpSpPr>
                              <xdr:grpSpPr>
                                <a:xfrm>
                                  <a:off x="142875" y="133350"/>
                                  <a:ext cx="486083" cy="514264"/>
                                  <a:chOff x="0" y="0"/>
                                  <a:chExt cx="771696" cy="514264"/>
                                </a:xfrm>
                              </xdr:grpSpPr>
                              <xdr:cxnSp macro="">
                                <xdr:nvCxnSpPr>
                                  <xdr:cNvPr id="167" name="Straight Connector 166"/>
                                  <xdr:cNvCxnSpPr/>
                                </xdr:nvCxnSpPr>
                                <xdr:spPr>
                                  <a:xfrm>
                                    <a:off x="9841" y="0"/>
                                    <a:ext cx="761366" cy="0"/>
                                  </a:xfrm>
                                  <a:prstGeom prst="line">
                                    <a:avLst/>
                                  </a:prstGeom>
                                  <a:ln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68" name="Straight Connector 167"/>
                                  <xdr:cNvCxnSpPr/>
                                </xdr:nvCxnSpPr>
                                <xdr:spPr>
                                  <a:xfrm>
                                    <a:off x="762001" y="317"/>
                                    <a:ext cx="9695" cy="509544"/>
                                  </a:xfrm>
                                  <a:prstGeom prst="line">
                                    <a:avLst/>
                                  </a:prstGeom>
                                  <a:ln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69" name="Straight Connector 168"/>
                                  <xdr:cNvCxnSpPr/>
                                </xdr:nvCxnSpPr>
                                <xdr:spPr>
                                  <a:xfrm>
                                    <a:off x="9841" y="514264"/>
                                    <a:ext cx="761366" cy="0"/>
                                  </a:xfrm>
                                  <a:prstGeom prst="line">
                                    <a:avLst/>
                                  </a:prstGeom>
                                  <a:ln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70" name="Straight Connector 169"/>
                                  <xdr:cNvCxnSpPr/>
                                </xdr:nvCxnSpPr>
                                <xdr:spPr>
                                  <a:xfrm>
                                    <a:off x="0" y="317"/>
                                    <a:ext cx="111" cy="509544"/>
                                  </a:xfrm>
                                  <a:prstGeom prst="line">
                                    <a:avLst/>
                                  </a:prstGeom>
                                  <a:ln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  <xdr:cxnSp macro="">
                              <xdr:nvCxnSpPr>
                                <xdr:cNvPr id="163" name="Straight Connector 162"/>
                                <xdr:cNvCxnSpPr/>
                              </xdr:nvCxnSpPr>
                              <xdr:spPr>
                                <a:xfrm>
                                  <a:off x="0" y="0"/>
                                  <a:ext cx="148590" cy="133350"/>
                                </a:xfrm>
                                <a:prstGeom prst="line">
                                  <a:avLst/>
                                </a:prstGeom>
                                <a:ln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64" name="Straight Connector 163"/>
                                <xdr:cNvCxnSpPr/>
                              </xdr:nvCxnSpPr>
                              <xdr:spPr>
                                <a:xfrm flipH="1">
                                  <a:off x="9525" y="628650"/>
                                  <a:ext cx="133037" cy="142875"/>
                                </a:xfrm>
                                <a:prstGeom prst="line">
                                  <a:avLst/>
                                </a:prstGeom>
                                <a:ln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65" name="Straight Connector 164"/>
                                <xdr:cNvCxnSpPr/>
                              </xdr:nvCxnSpPr>
                              <xdr:spPr>
                                <a:xfrm>
                                  <a:off x="614363" y="633412"/>
                                  <a:ext cx="148590" cy="133350"/>
                                </a:xfrm>
                                <a:prstGeom prst="line">
                                  <a:avLst/>
                                </a:prstGeom>
                                <a:ln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66" name="Straight Connector 165"/>
                                <xdr:cNvCxnSpPr/>
                              </xdr:nvCxnSpPr>
                              <xdr:spPr>
                                <a:xfrm flipH="1">
                                  <a:off x="609349" y="474"/>
                                  <a:ext cx="161541" cy="142401"/>
                                </a:xfrm>
                                <a:prstGeom prst="line">
                                  <a:avLst/>
                                </a:prstGeom>
                                <a:ln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  <xdr:grpSp>
                            <xdr:nvGrpSpPr>
                              <xdr:cNvPr id="152" name="Group 151"/>
                              <xdr:cNvGrpSpPr/>
                            </xdr:nvGrpSpPr>
                            <xdr:grpSpPr>
                              <a:xfrm>
                                <a:off x="204788" y="219075"/>
                                <a:ext cx="316547" cy="326327"/>
                                <a:chOff x="0" y="0"/>
                                <a:chExt cx="316547" cy="326327"/>
                              </a:xfrm>
                            </xdr:grpSpPr>
                            <xdr:sp macro="" textlink="">
                              <xdr:nvSpPr>
                                <xdr:cNvPr id="153" name="Oval 152"/>
                                <xdr:cNvSpPr/>
                              </xdr:nvSpPr>
                              <xdr:spPr>
                                <a:xfrm>
                                  <a:off x="0" y="0"/>
                                  <a:ext cx="54610" cy="54610"/>
                                </a:xfrm>
                                <a:prstGeom prst="ellipse">
                                  <a:avLst/>
                                </a:prstGeom>
                              </xdr:spPr>
                              <xdr:style>
                                <a:lnRef idx="2">
                                  <a:schemeClr val="accent1">
                                    <a:shade val="50000"/>
                                  </a:schemeClr>
                                </a:lnRef>
                                <a:fillRef idx="1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lt1"/>
                                </a:fontRef>
                              </xdr:style>
                              <xdr:txBody>
                                <a:bodyPr rot="0" spcFirstLastPara="0" vert="horz" wrap="square" lIns="91440" tIns="45720" rIns="91440" bIns="45720" numCol="1" spcCol="0" rtlCol="0" fromWordArt="0" anchor="ctr" anchorCtr="0" forceAA="0" compatLnSpc="1">
                                  <a:prstTxWarp prst="textNoShape">
                                    <a:avLst/>
                                  </a:prstTxWarp>
                                  <a:noAutofit/>
                                </a:bodyPr>
                                <a:lstStyle/>
                                <a:p>
                                  <a:endParaRPr lang="en-US"/>
                                </a:p>
                              </xdr:txBody>
                            </xdr:sp>
                            <xdr:sp macro="" textlink="">
                              <xdr:nvSpPr>
                                <xdr:cNvPr id="154" name="Oval 153"/>
                                <xdr:cNvSpPr/>
                              </xdr:nvSpPr>
                              <xdr:spPr>
                                <a:xfrm>
                                  <a:off x="252412" y="4763"/>
                                  <a:ext cx="54610" cy="54610"/>
                                </a:xfrm>
                                <a:prstGeom prst="ellipse">
                                  <a:avLst/>
                                </a:prstGeom>
                              </xdr:spPr>
                              <xdr:style>
                                <a:lnRef idx="2">
                                  <a:schemeClr val="accent1">
                                    <a:shade val="50000"/>
                                  </a:schemeClr>
                                </a:lnRef>
                                <a:fillRef idx="1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lt1"/>
                                </a:fontRef>
                              </xdr:style>
                              <xdr:txBody>
                                <a:bodyPr rot="0" spcFirstLastPara="0" vert="horz" wrap="square" lIns="91440" tIns="45720" rIns="91440" bIns="45720" numCol="1" spcCol="0" rtlCol="0" fromWordArt="0" anchor="ctr" anchorCtr="0" forceAA="0" compatLnSpc="1">
                                  <a:prstTxWarp prst="textNoShape">
                                    <a:avLst/>
                                  </a:prstTxWarp>
                                  <a:noAutofit/>
                                </a:bodyPr>
                                <a:lstStyle/>
                                <a:p>
                                  <a:endParaRPr lang="en-US"/>
                                </a:p>
                              </xdr:txBody>
                            </xdr:sp>
                            <xdr:sp macro="" textlink="">
                              <xdr:nvSpPr>
                                <xdr:cNvPr id="155" name="Oval 154"/>
                                <xdr:cNvSpPr/>
                              </xdr:nvSpPr>
                              <xdr:spPr>
                                <a:xfrm>
                                  <a:off x="261937" y="271463"/>
                                  <a:ext cx="54610" cy="54610"/>
                                </a:xfrm>
                                <a:prstGeom prst="ellipse">
                                  <a:avLst/>
                                </a:prstGeom>
                              </xdr:spPr>
                              <xdr:style>
                                <a:lnRef idx="2">
                                  <a:schemeClr val="accent1">
                                    <a:shade val="50000"/>
                                  </a:schemeClr>
                                </a:lnRef>
                                <a:fillRef idx="1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lt1"/>
                                </a:fontRef>
                              </xdr:style>
                              <xdr:txBody>
                                <a:bodyPr rot="0" spcFirstLastPara="0" vert="horz" wrap="square" lIns="91440" tIns="45720" rIns="91440" bIns="45720" numCol="1" spcCol="0" rtlCol="0" fromWordArt="0" anchor="ctr" anchorCtr="0" forceAA="0" compatLnSpc="1">
                                  <a:prstTxWarp prst="textNoShape">
                                    <a:avLst/>
                                  </a:prstTxWarp>
                                  <a:noAutofit/>
                                </a:bodyPr>
                                <a:lstStyle/>
                                <a:p>
                                  <a:endParaRPr lang="en-US"/>
                                </a:p>
                              </xdr:txBody>
                            </xdr:sp>
                            <xdr:sp macro="" textlink="">
                              <xdr:nvSpPr>
                                <xdr:cNvPr id="156" name="Oval 155"/>
                                <xdr:cNvSpPr/>
                              </xdr:nvSpPr>
                              <xdr:spPr>
                                <a:xfrm>
                                  <a:off x="0" y="271463"/>
                                  <a:ext cx="54864" cy="54864"/>
                                </a:xfrm>
                                <a:prstGeom prst="ellipse">
                                  <a:avLst/>
                                </a:prstGeom>
                              </xdr:spPr>
                              <xdr:style>
                                <a:lnRef idx="2">
                                  <a:schemeClr val="accent1">
                                    <a:shade val="50000"/>
                                  </a:schemeClr>
                                </a:lnRef>
                                <a:fillRef idx="1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lt1"/>
                                </a:fontRef>
                              </xdr:style>
                              <xdr:txBody>
                                <a:bodyPr rot="0" spcFirstLastPara="0" vert="horz" wrap="square" lIns="91440" tIns="45720" rIns="91440" bIns="45720" numCol="1" spcCol="0" rtlCol="0" fromWordArt="0" anchor="ctr" anchorCtr="0" forceAA="0" compatLnSpc="1">
                                  <a:prstTxWarp prst="textNoShape">
                                    <a:avLst/>
                                  </a:prstTxWarp>
                                  <a:noAutofit/>
                                </a:bodyPr>
                                <a:lstStyle/>
                                <a:p>
                                  <a:endParaRPr lang="en-US"/>
                                </a:p>
                              </xdr:txBody>
                            </xdr:sp>
                            <xdr:cxnSp macro="">
                              <xdr:nvCxnSpPr>
                                <xdr:cNvPr id="157" name="Straight Connector 156"/>
                                <xdr:cNvCxnSpPr/>
                              </xdr:nvCxnSpPr>
                              <xdr:spPr>
                                <a:xfrm>
                                  <a:off x="57150" y="23813"/>
                                  <a:ext cx="182880" cy="0"/>
                                </a:xfrm>
                                <a:prstGeom prst="line">
                                  <a:avLst/>
                                </a:prstGeom>
                                <a:ln/>
                              </xdr:spPr>
                              <xdr:style>
                                <a:lnRef idx="2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1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58" name="Straight Connector 157"/>
                                <xdr:cNvCxnSpPr/>
                              </xdr:nvCxnSpPr>
                              <xdr:spPr>
                                <a:xfrm>
                                  <a:off x="66675" y="300038"/>
                                  <a:ext cx="182880" cy="0"/>
                                </a:xfrm>
                                <a:prstGeom prst="line">
                                  <a:avLst/>
                                </a:prstGeom>
                                <a:ln/>
                              </xdr:spPr>
                              <xdr:style>
                                <a:lnRef idx="2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1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59" name="Straight Connector 158"/>
                                <xdr:cNvCxnSpPr/>
                              </xdr:nvCxnSpPr>
                              <xdr:spPr>
                                <a:xfrm>
                                  <a:off x="286512" y="70675"/>
                                  <a:ext cx="0" cy="192024"/>
                                </a:xfrm>
                                <a:prstGeom prst="line">
                                  <a:avLst/>
                                </a:prstGeom>
                                <a:ln/>
                              </xdr:spPr>
                              <xdr:style>
                                <a:lnRef idx="2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1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cxnSp macro="">
                              <xdr:nvCxnSpPr>
                                <xdr:cNvPr id="160" name="Straight Connector 159"/>
                                <xdr:cNvCxnSpPr/>
                              </xdr:nvCxnSpPr>
                              <xdr:spPr>
                                <a:xfrm>
                                  <a:off x="24574" y="65913"/>
                                  <a:ext cx="0" cy="192024"/>
                                </a:xfrm>
                                <a:prstGeom prst="line">
                                  <a:avLst/>
                                </a:prstGeom>
                                <a:ln/>
                              </xdr:spPr>
                              <xdr:style>
                                <a:lnRef idx="2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1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</xdr:grpSp>
                        <xdr:sp macro="" textlink="">
                          <xdr:nvSpPr>
                            <xdr:cNvPr id="142" name="Text Box 160"/>
                            <xdr:cNvSpPr txBox="1"/>
                          </xdr:nvSpPr>
                          <xdr:spPr>
                            <a:xfrm>
                              <a:off x="923925" y="481013"/>
                              <a:ext cx="1104265" cy="161925"/>
                            </a:xfrm>
                            <a:prstGeom prst="rect">
                              <a:avLst/>
                            </a:prstGeom>
                            <a:solidFill>
                              <a:schemeClr val="lt1"/>
                            </a:solidFill>
                            <a:ln w="6350">
                              <a:noFill/>
                            </a:ln>
                            <a:effectLst/>
                          </xdr:spPr>
                          <xdr:style>
                            <a:lnRef idx="0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dk1"/>
                            </a:fontRef>
                          </xdr:style>
                          <xdr:txBody>
                            <a:bodyPr rot="0" spcFirstLastPara="0" vert="horz" wrap="square" lIns="0" tIns="0" rIns="0" bIns="0" numCol="1" spcCol="0" rtlCol="0" fromWordArt="0" anchor="t" anchorCtr="0" forceAA="0" compatLnSpc="1">
                              <a:prstTxWarp prst="textNoShape">
                                <a:avLst/>
                              </a:prstTxWarp>
                              <a:noAutofit/>
                            </a:bodyPr>
                            <a:lstStyle/>
                            <a:p>
                              <a:pPr marL="0" marR="0" indent="0" algn="l">
                                <a:lnSpc>
                                  <a:spcPct val="115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1200"/>
                                </a:spcAft>
                              </a:pPr>
                              <a:r>
                                <a:rPr lang="en-US" sz="1100">
                                  <a:solidFill>
                                    <a:schemeClr val="dk1"/>
                                  </a:solidFill>
                                  <a:effectLst/>
                                  <a:latin typeface="Arial"/>
                                  <a:ea typeface="Calibri"/>
                                  <a:cs typeface="Times New Roman"/>
                                </a:rPr>
                                <a:t>8mm @5cm c/c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143" name="Text Box 161"/>
                            <xdr:cNvSpPr txBox="1"/>
                          </xdr:nvSpPr>
                          <xdr:spPr>
                            <a:xfrm>
                              <a:off x="919163" y="0"/>
                              <a:ext cx="1304205" cy="200094"/>
                            </a:xfrm>
                            <a:prstGeom prst="rect">
                              <a:avLst/>
                            </a:prstGeom>
                            <a:solidFill>
                              <a:schemeClr val="lt1"/>
                            </a:solidFill>
                            <a:ln w="6350">
                              <a:noFill/>
                            </a:ln>
                            <a:effectLst/>
                          </xdr:spPr>
                          <xdr:style>
                            <a:lnRef idx="0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dk1"/>
                            </a:fontRef>
                          </xdr:style>
                          <xdr:txBody>
                            <a:bodyPr rot="0" spcFirstLastPara="0" vert="horz" wrap="square" lIns="0" tIns="0" rIns="0" bIns="0" numCol="1" spcCol="0" rtlCol="0" fromWordArt="0" anchor="t" anchorCtr="0" forceAA="0" compatLnSpc="1">
                              <a:prstTxWarp prst="textNoShape">
                                <a:avLst/>
                              </a:prstTxWarp>
                              <a:noAutofit/>
                            </a:bodyPr>
                            <a:lstStyle/>
                            <a:p>
                              <a:pPr marL="0" marR="0" algn="l">
                                <a:lnSpc>
                                  <a:spcPct val="115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1200"/>
                                </a:spcAft>
                              </a:pPr>
                              <a:r>
                                <a:rPr lang="en-US" sz="1100">
                                  <a:effectLst/>
                                  <a:latin typeface="Arial"/>
                                  <a:ea typeface="Calibri"/>
                                  <a:cs typeface="Times New Roman"/>
                                </a:rPr>
                                <a:t>Top edge of pole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144" name="Text Box 162"/>
                            <xdr:cNvSpPr txBox="1"/>
                          </xdr:nvSpPr>
                          <xdr:spPr>
                            <a:xfrm>
                              <a:off x="923925" y="271463"/>
                              <a:ext cx="1104265" cy="161925"/>
                            </a:xfrm>
                            <a:prstGeom prst="rect">
                              <a:avLst/>
                            </a:prstGeom>
                            <a:solidFill>
                              <a:schemeClr val="lt1"/>
                            </a:solidFill>
                            <a:ln w="6350">
                              <a:noFill/>
                            </a:ln>
                            <a:effectLst/>
                          </xdr:spPr>
                          <xdr:style>
                            <a:lnRef idx="0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dk1"/>
                            </a:fontRef>
                          </xdr:style>
                          <xdr:txBody>
                            <a:bodyPr rot="0" spcFirstLastPara="0" vert="horz" wrap="square" lIns="0" tIns="0" rIns="0" bIns="0" numCol="1" spcCol="0" rtlCol="0" fromWordArt="0" anchor="t" anchorCtr="0" forceAA="0" compatLnSpc="1">
                              <a:prstTxWarp prst="textNoShape">
                                <a:avLst/>
                              </a:prstTxWarp>
                              <a:noAutofit/>
                            </a:bodyPr>
                            <a:lstStyle/>
                            <a:p>
                              <a:pPr marL="0" marR="0" indent="0" algn="l">
                                <a:lnSpc>
                                  <a:spcPct val="115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1200"/>
                                </a:spcAft>
                              </a:pPr>
                              <a:r>
                                <a:rPr lang="en-US" sz="1100">
                                  <a:solidFill>
                                    <a:schemeClr val="dk1"/>
                                  </a:solidFill>
                                  <a:effectLst/>
                                  <a:latin typeface="Arial"/>
                                  <a:ea typeface="Calibri"/>
                                  <a:cs typeface="Times New Roman"/>
                                </a:rPr>
                                <a:t>6mm @30cm c/c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145" name="Text Box 163"/>
                            <xdr:cNvSpPr txBox="1"/>
                          </xdr:nvSpPr>
                          <xdr:spPr>
                            <a:xfrm>
                              <a:off x="914400" y="709613"/>
                              <a:ext cx="1266825" cy="161925"/>
                            </a:xfrm>
                            <a:prstGeom prst="rect">
                              <a:avLst/>
                            </a:prstGeom>
                            <a:solidFill>
                              <a:schemeClr val="lt1"/>
                            </a:solidFill>
                            <a:ln w="6350">
                              <a:noFill/>
                            </a:ln>
                            <a:effectLst/>
                          </xdr:spPr>
                          <xdr:style>
                            <a:lnRef idx="0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dk1"/>
                            </a:fontRef>
                          </xdr:style>
                          <xdr:txBody>
                            <a:bodyPr rot="0" spcFirstLastPara="0" vert="horz" wrap="square" lIns="0" tIns="0" rIns="0" bIns="0" numCol="1" spcCol="0" rtlCol="0" fromWordArt="0" anchor="t" anchorCtr="0" forceAA="0" compatLnSpc="1">
                              <a:prstTxWarp prst="textNoShape">
                                <a:avLst/>
                              </a:prstTxWarp>
                              <a:noAutofit/>
                            </a:bodyPr>
                            <a:lstStyle/>
                            <a:p>
                              <a:pPr marL="0" marR="0" indent="0" algn="l">
                                <a:lnSpc>
                                  <a:spcPct val="115000"/>
                                </a:lnSpc>
                                <a:spcBef>
                                  <a:spcPts val="0"/>
                                </a:spcBef>
                                <a:spcAft>
                                  <a:spcPts val="1200"/>
                                </a:spcAft>
                              </a:pPr>
                              <a:r>
                                <a:rPr lang="en-US" sz="1100">
                                  <a:solidFill>
                                    <a:schemeClr val="dk1"/>
                                  </a:solidFill>
                                  <a:effectLst/>
                                  <a:latin typeface="Arial"/>
                                  <a:ea typeface="Calibri"/>
                                  <a:cs typeface="Times New Roman"/>
                                </a:rPr>
                                <a:t>Bottom edge of pole</a:t>
                              </a:r>
                            </a:p>
                          </xdr:txBody>
                        </xdr:sp>
                        <xdr:cxnSp macro="">
                          <xdr:nvCxnSpPr>
                            <xdr:cNvPr id="146" name="Straight Connector 145"/>
                            <xdr:cNvCxnSpPr/>
                          </xdr:nvCxnSpPr>
                          <xdr:spPr>
                            <a:xfrm flipV="1">
                              <a:off x="347663" y="90488"/>
                              <a:ext cx="0" cy="177165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  <a:headEnd type="triangle" w="med" len="med"/>
                              <a:tailEnd type="none" w="med" len="me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47" name="Straight Connector 146"/>
                            <xdr:cNvCxnSpPr/>
                          </xdr:nvCxnSpPr>
                          <xdr:spPr>
                            <a:xfrm flipV="1">
                              <a:off x="519113" y="576264"/>
                              <a:ext cx="402336" cy="100584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  <a:headEnd type="triangle" w="med" len="med"/>
                              <a:tailEnd type="none" w="med" len="me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48" name="Straight Connector 147"/>
                            <xdr:cNvCxnSpPr/>
                          </xdr:nvCxnSpPr>
                          <xdr:spPr>
                            <a:xfrm>
                              <a:off x="347663" y="90488"/>
                              <a:ext cx="576072" cy="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49" name="Straight Connector 148"/>
                            <xdr:cNvCxnSpPr/>
                          </xdr:nvCxnSpPr>
                          <xdr:spPr>
                            <a:xfrm flipV="1">
                              <a:off x="490538" y="390526"/>
                              <a:ext cx="420624" cy="100330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  <a:headEnd type="triangle" w="med" len="med"/>
                              <a:tailEnd type="none" w="med" len="me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50" name="Straight Connector 149"/>
                            <xdr:cNvCxnSpPr/>
                          </xdr:nvCxnSpPr>
                          <xdr:spPr>
                            <a:xfrm flipV="1">
                              <a:off x="762000" y="776288"/>
                              <a:ext cx="137160" cy="14605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  <a:headEnd type="triangle" w="med" len="med"/>
                              <a:tailEnd type="none" w="med" len="me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grpSp>
                        <xdr:nvGrpSpPr>
                          <xdr:cNvPr id="132" name="Group 131"/>
                          <xdr:cNvGrpSpPr/>
                        </xdr:nvGrpSpPr>
                        <xdr:grpSpPr>
                          <a:xfrm>
                            <a:off x="147638" y="276225"/>
                            <a:ext cx="472439" cy="514350"/>
                            <a:chOff x="0" y="0"/>
                            <a:chExt cx="472439" cy="514350"/>
                          </a:xfrm>
                        </xdr:grpSpPr>
                        <xdr:cxnSp macro="">
                          <xdr:nvCxnSpPr>
                            <xdr:cNvPr id="133" name="Straight Connector 132"/>
                            <xdr:cNvCxnSpPr/>
                          </xdr:nvCxnSpPr>
                          <xdr:spPr>
                            <a:xfrm flipH="1">
                              <a:off x="80963" y="19050"/>
                              <a:ext cx="210786" cy="475488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4" name="Straight Connector 133"/>
                            <xdr:cNvCxnSpPr/>
                          </xdr:nvCxnSpPr>
                          <xdr:spPr>
                            <a:xfrm flipH="1">
                              <a:off x="19051" y="4763"/>
                              <a:ext cx="210185" cy="485140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5" name="Straight Connector 134"/>
                            <xdr:cNvCxnSpPr/>
                          </xdr:nvCxnSpPr>
                          <xdr:spPr>
                            <a:xfrm flipH="1">
                              <a:off x="1" y="0"/>
                              <a:ext cx="166370" cy="400050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6" name="Straight Connector 135"/>
                            <xdr:cNvCxnSpPr/>
                          </xdr:nvCxnSpPr>
                          <xdr:spPr>
                            <a:xfrm flipH="1">
                              <a:off x="304801" y="114300"/>
                              <a:ext cx="166370" cy="400050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7" name="Straight Connector 136"/>
                            <xdr:cNvCxnSpPr/>
                          </xdr:nvCxnSpPr>
                          <xdr:spPr>
                            <a:xfrm flipH="1">
                              <a:off x="0" y="4763"/>
                              <a:ext cx="86677" cy="209697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8" name="Straight Connector 137"/>
                            <xdr:cNvCxnSpPr/>
                          </xdr:nvCxnSpPr>
                          <xdr:spPr>
                            <a:xfrm flipH="1">
                              <a:off x="385762" y="285750"/>
                              <a:ext cx="86677" cy="209697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9" name="Straight Connector 138"/>
                            <xdr:cNvCxnSpPr/>
                          </xdr:nvCxnSpPr>
                          <xdr:spPr>
                            <a:xfrm flipH="1">
                              <a:off x="157162" y="14288"/>
                              <a:ext cx="210186" cy="495028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40" name="Straight Connector 139"/>
                            <xdr:cNvCxnSpPr/>
                          </xdr:nvCxnSpPr>
                          <xdr:spPr>
                            <a:xfrm flipH="1">
                              <a:off x="228600" y="0"/>
                              <a:ext cx="214313" cy="504555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</xdr:grpSp>
                    <xdr:grpSp>
                      <xdr:nvGrpSpPr>
                        <xdr:cNvPr id="114" name="Group 113"/>
                        <xdr:cNvGrpSpPr/>
                      </xdr:nvGrpSpPr>
                      <xdr:grpSpPr>
                        <a:xfrm>
                          <a:off x="2673888" y="0"/>
                          <a:ext cx="845281" cy="1011555"/>
                          <a:chOff x="-69312" y="0"/>
                          <a:chExt cx="845281" cy="1011555"/>
                        </a:xfrm>
                      </xdr:grpSpPr>
                      <xdr:cxnSp macro="">
                        <xdr:nvCxnSpPr>
                          <xdr:cNvPr id="115" name="Straight Connector 114"/>
                          <xdr:cNvCxnSpPr/>
                        </xdr:nvCxnSpPr>
                        <xdr:spPr>
                          <a:xfrm>
                            <a:off x="-58795" y="1000125"/>
                            <a:ext cx="825380" cy="0"/>
                          </a:xfrm>
                          <a:prstGeom prst="line">
                            <a:avLst/>
                          </a:prstGeom>
                          <a:ln/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16" name="Straight Connector 115"/>
                          <xdr:cNvCxnSpPr/>
                        </xdr:nvCxnSpPr>
                        <xdr:spPr>
                          <a:xfrm>
                            <a:off x="-61653" y="626745"/>
                            <a:ext cx="0" cy="365760"/>
                          </a:xfrm>
                          <a:prstGeom prst="line">
                            <a:avLst/>
                          </a:prstGeom>
                          <a:ln/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17" name="Straight Connector 116"/>
                          <xdr:cNvCxnSpPr/>
                        </xdr:nvCxnSpPr>
                        <xdr:spPr>
                          <a:xfrm>
                            <a:off x="760996" y="645795"/>
                            <a:ext cx="0" cy="365760"/>
                          </a:xfrm>
                          <a:prstGeom prst="line">
                            <a:avLst/>
                          </a:prstGeom>
                          <a:ln/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18" name="Straight Connector 117"/>
                          <xdr:cNvCxnSpPr/>
                        </xdr:nvCxnSpPr>
                        <xdr:spPr>
                          <a:xfrm flipH="1">
                            <a:off x="-69312" y="428625"/>
                            <a:ext cx="238859" cy="209550"/>
                          </a:xfrm>
                          <a:prstGeom prst="line">
                            <a:avLst/>
                          </a:prstGeom>
                          <a:ln/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19" name="Straight Connector 118"/>
                          <xdr:cNvCxnSpPr/>
                        </xdr:nvCxnSpPr>
                        <xdr:spPr>
                          <a:xfrm flipH="1" flipV="1">
                            <a:off x="581025" y="447676"/>
                            <a:ext cx="194944" cy="196215"/>
                          </a:xfrm>
                          <a:prstGeom prst="line">
                            <a:avLst/>
                          </a:prstGeom>
                          <a:ln/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0" name="Straight Connector 119"/>
                          <xdr:cNvCxnSpPr/>
                        </xdr:nvCxnSpPr>
                        <xdr:spPr>
                          <a:xfrm>
                            <a:off x="163830" y="83820"/>
                            <a:ext cx="0" cy="365760"/>
                          </a:xfrm>
                          <a:prstGeom prst="line">
                            <a:avLst/>
                          </a:prstGeom>
                          <a:ln/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1" name="Straight Connector 120"/>
                          <xdr:cNvCxnSpPr/>
                        </xdr:nvCxnSpPr>
                        <xdr:spPr>
                          <a:xfrm>
                            <a:off x="582930" y="83820"/>
                            <a:ext cx="0" cy="365760"/>
                          </a:xfrm>
                          <a:prstGeom prst="line">
                            <a:avLst/>
                          </a:prstGeom>
                          <a:ln/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2" name="Straight Connector 121"/>
                          <xdr:cNvCxnSpPr/>
                        </xdr:nvCxnSpPr>
                        <xdr:spPr>
                          <a:xfrm>
                            <a:off x="252094" y="105093"/>
                            <a:ext cx="0" cy="504190"/>
                          </a:xfrm>
                          <a:prstGeom prst="line">
                            <a:avLst/>
                          </a:prstGeom>
                          <a:ln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3" name="Straight Connector 122"/>
                          <xdr:cNvCxnSpPr/>
                        </xdr:nvCxnSpPr>
                        <xdr:spPr>
                          <a:xfrm>
                            <a:off x="490219" y="109855"/>
                            <a:ext cx="0" cy="504190"/>
                          </a:xfrm>
                          <a:prstGeom prst="line">
                            <a:avLst/>
                          </a:prstGeom>
                          <a:ln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4" name="Straight Connector 123"/>
                          <xdr:cNvCxnSpPr/>
                        </xdr:nvCxnSpPr>
                        <xdr:spPr>
                          <a:xfrm flipH="1">
                            <a:off x="108484" y="623887"/>
                            <a:ext cx="484632" cy="0"/>
                          </a:xfrm>
                          <a:prstGeom prst="line">
                            <a:avLst/>
                          </a:prstGeom>
                          <a:ln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grpSp>
                        <xdr:nvGrpSpPr>
                          <xdr:cNvPr id="125" name="Group 124"/>
                          <xdr:cNvGrpSpPr/>
                        </xdr:nvGrpSpPr>
                        <xdr:grpSpPr>
                          <a:xfrm>
                            <a:off x="9525" y="0"/>
                            <a:ext cx="702945" cy="182880"/>
                            <a:chOff x="0" y="0"/>
                            <a:chExt cx="702945" cy="182880"/>
                          </a:xfrm>
                        </xdr:grpSpPr>
                        <xdr:cxnSp macro="">
                          <xdr:nvCxnSpPr>
                            <xdr:cNvPr id="126" name="Straight Connector 125"/>
                            <xdr:cNvCxnSpPr/>
                          </xdr:nvCxnSpPr>
                          <xdr:spPr>
                            <a:xfrm flipH="1">
                              <a:off x="0" y="86677"/>
                              <a:ext cx="274320" cy="0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27" name="Straight Connector 126"/>
                            <xdr:cNvCxnSpPr/>
                          </xdr:nvCxnSpPr>
                          <xdr:spPr>
                            <a:xfrm flipH="1">
                              <a:off x="428625" y="86677"/>
                              <a:ext cx="274320" cy="0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28" name="Straight Connector 127"/>
                            <xdr:cNvCxnSpPr/>
                          </xdr:nvCxnSpPr>
                          <xdr:spPr>
                            <a:xfrm flipV="1">
                              <a:off x="353377" y="0"/>
                              <a:ext cx="0" cy="182880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29" name="Straight Connector 128"/>
                            <xdr:cNvCxnSpPr/>
                          </xdr:nvCxnSpPr>
                          <xdr:spPr>
                            <a:xfrm flipV="1">
                              <a:off x="361950" y="86678"/>
                              <a:ext cx="66675" cy="95885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30" name="Straight Connector 129"/>
                            <xdr:cNvCxnSpPr/>
                          </xdr:nvCxnSpPr>
                          <xdr:spPr>
                            <a:xfrm flipV="1">
                              <a:off x="276225" y="952"/>
                              <a:ext cx="75565" cy="80010"/>
                            </a:xfrm>
                            <a:prstGeom prst="line">
                              <a:avLst/>
                            </a:prstGeom>
                            <a:ln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</xdr:grpSp>
                  </xdr:grpSp>
                  <xdr:sp macro="" textlink="">
                    <xdr:nvSpPr>
                      <xdr:cNvPr id="111" name="Freeform 110"/>
                      <xdr:cNvSpPr/>
                    </xdr:nvSpPr>
                    <xdr:spPr>
                      <a:xfrm>
                        <a:off x="3181350" y="295275"/>
                        <a:ext cx="210789" cy="61819"/>
                      </a:xfrm>
                      <a:custGeom>
                        <a:avLst/>
                        <a:gdLst>
                          <a:gd name="connsiteX0" fmla="*/ 0 w 77299"/>
                          <a:gd name="connsiteY0" fmla="*/ 0 h 61913"/>
                          <a:gd name="connsiteX1" fmla="*/ 52387 w 77299"/>
                          <a:gd name="connsiteY1" fmla="*/ 9525 h 61913"/>
                          <a:gd name="connsiteX2" fmla="*/ 76200 w 77299"/>
                          <a:gd name="connsiteY2" fmla="*/ 42863 h 61913"/>
                          <a:gd name="connsiteX3" fmla="*/ 19050 w 77299"/>
                          <a:gd name="connsiteY3" fmla="*/ 61913 h 61913"/>
                        </a:gdLst>
                        <a:ahLst/>
                        <a:cxnLst>
                          <a:cxn ang="0">
                            <a:pos x="connsiteX0" y="connsiteY0"/>
                          </a:cxn>
                          <a:cxn ang="0">
                            <a:pos x="connsiteX1" y="connsiteY1"/>
                          </a:cxn>
                          <a:cxn ang="0">
                            <a:pos x="connsiteX2" y="connsiteY2"/>
                          </a:cxn>
                          <a:cxn ang="0">
                            <a:pos x="connsiteX3" y="connsiteY3"/>
                          </a:cxn>
                        </a:cxnLst>
                        <a:rect l="l" t="t" r="r" b="b"/>
                        <a:pathLst>
                          <a:path w="77299" h="61913">
                            <a:moveTo>
                              <a:pt x="0" y="0"/>
                            </a:moveTo>
                            <a:cubicBezTo>
                              <a:pt x="19843" y="1190"/>
                              <a:pt x="39687" y="2381"/>
                              <a:pt x="52387" y="9525"/>
                            </a:cubicBezTo>
                            <a:cubicBezTo>
                              <a:pt x="65087" y="16669"/>
                              <a:pt x="81756" y="34132"/>
                              <a:pt x="76200" y="42863"/>
                            </a:cubicBezTo>
                            <a:cubicBezTo>
                              <a:pt x="70644" y="51594"/>
                              <a:pt x="44847" y="56753"/>
                              <a:pt x="19050" y="61913"/>
                            </a:cubicBezTo>
                          </a:path>
                        </a:pathLst>
                      </a:custGeom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  <xdr:txBody>
                      <a:bodyPr rot="0" spcFirstLastPara="0" vert="horz" wrap="square" lIns="91440" tIns="45720" rIns="91440" bIns="45720" numCol="1" spcCol="0" rtlCol="0" fromWordArt="0" anchor="ctr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endParaRPr lang="en-US"/>
                      </a:p>
                    </xdr:txBody>
                  </xdr:sp>
                </xdr:grpSp>
                <xdr:grpSp>
                  <xdr:nvGrpSpPr>
                    <xdr:cNvPr id="101" name="Group 100"/>
                    <xdr:cNvGrpSpPr/>
                  </xdr:nvGrpSpPr>
                  <xdr:grpSpPr>
                    <a:xfrm>
                      <a:off x="2890838" y="-76200"/>
                      <a:ext cx="1115695" cy="1371600"/>
                      <a:chOff x="0" y="-76200"/>
                      <a:chExt cx="1115695" cy="1371600"/>
                    </a:xfrm>
                  </xdr:grpSpPr>
                  <xdr:sp macro="" textlink="">
                    <xdr:nvSpPr>
                      <xdr:cNvPr id="102" name="Text Box 207"/>
                      <xdr:cNvSpPr txBox="1"/>
                    </xdr:nvSpPr>
                    <xdr:spPr>
                      <a:xfrm>
                        <a:off x="0" y="-76200"/>
                        <a:ext cx="374015" cy="133350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6350">
                        <a:noFill/>
                      </a:ln>
                      <a:effectLst/>
                    </xdr:spPr>
                    <xdr:style>
                      <a:lnRef idx="0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dk1"/>
                      </a:fontRef>
                    </xdr:style>
                    <xdr:txBody>
                      <a:bodyPr rot="0" spcFirstLastPara="0" vert="horz" wrap="square" lIns="0" tIns="9144" rIns="0" bIns="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marL="0" marR="0" algn="ctr">
                          <a:lnSpc>
                            <a:spcPct val="115000"/>
                          </a:lnSpc>
                          <a:spcBef>
                            <a:spcPts val="0"/>
                          </a:spcBef>
                          <a:spcAft>
                            <a:spcPts val="1200"/>
                          </a:spcAft>
                        </a:pPr>
                        <a:r>
                          <a:rPr lang="en-US" sz="900">
                            <a:effectLst/>
                            <a:latin typeface="Arial"/>
                            <a:ea typeface="Calibri"/>
                            <a:cs typeface="Times New Roman"/>
                          </a:rPr>
                          <a:t>10cm</a:t>
                        </a:r>
                        <a:endParaRPr lang="en-US" sz="1100">
                          <a:effectLst/>
                          <a:latin typeface="Arial"/>
                          <a:ea typeface="Calibri"/>
                          <a:cs typeface="Times New Roman"/>
                        </a:endParaRPr>
                      </a:p>
                    </xdr:txBody>
                  </xdr:sp>
                  <xdr:sp macro="" textlink="">
                    <xdr:nvSpPr>
                      <xdr:cNvPr id="103" name="Text Box 208"/>
                      <xdr:cNvSpPr txBox="1"/>
                    </xdr:nvSpPr>
                    <xdr:spPr>
                      <a:xfrm>
                        <a:off x="47625" y="1162050"/>
                        <a:ext cx="374015" cy="133350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6350">
                        <a:noFill/>
                      </a:ln>
                      <a:effectLst/>
                    </xdr:spPr>
                    <xdr:style>
                      <a:lnRef idx="0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dk1"/>
                      </a:fontRef>
                    </xdr:style>
                    <xdr:txBody>
                      <a:bodyPr rot="0" spcFirstLastPara="0" vert="horz" wrap="square" lIns="0" tIns="9144" rIns="0" bIns="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marL="0" marR="0" algn="ctr">
                          <a:lnSpc>
                            <a:spcPct val="115000"/>
                          </a:lnSpc>
                          <a:spcBef>
                            <a:spcPts val="0"/>
                          </a:spcBef>
                          <a:spcAft>
                            <a:spcPts val="1200"/>
                          </a:spcAft>
                        </a:pPr>
                        <a:r>
                          <a:rPr lang="en-US" sz="900">
                            <a:effectLst/>
                            <a:latin typeface="Arial"/>
                            <a:ea typeface="Calibri"/>
                            <a:cs typeface="Times New Roman"/>
                          </a:rPr>
                          <a:t>30cm</a:t>
                        </a:r>
                        <a:endParaRPr lang="en-US" sz="1100">
                          <a:effectLst/>
                          <a:latin typeface="Arial"/>
                          <a:ea typeface="Calibri"/>
                          <a:cs typeface="Times New Roman"/>
                        </a:endParaRPr>
                      </a:p>
                    </xdr:txBody>
                  </xdr:sp>
                  <xdr:sp macro="" textlink="">
                    <xdr:nvSpPr>
                      <xdr:cNvPr id="104" name="Text Box 209"/>
                      <xdr:cNvSpPr txBox="1"/>
                    </xdr:nvSpPr>
                    <xdr:spPr>
                      <a:xfrm>
                        <a:off x="671509" y="857250"/>
                        <a:ext cx="374015" cy="133350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6350">
                        <a:noFill/>
                      </a:ln>
                      <a:effectLst/>
                    </xdr:spPr>
                    <xdr:style>
                      <a:lnRef idx="0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dk1"/>
                      </a:fontRef>
                    </xdr:style>
                    <xdr:txBody>
                      <a:bodyPr rot="0" spcFirstLastPara="0" vert="horz" wrap="square" lIns="0" tIns="9144" rIns="0" bIns="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marL="0" marR="0" algn="ctr">
                          <a:lnSpc>
                            <a:spcPct val="115000"/>
                          </a:lnSpc>
                          <a:spcBef>
                            <a:spcPts val="0"/>
                          </a:spcBef>
                          <a:spcAft>
                            <a:spcPts val="1200"/>
                          </a:spcAft>
                        </a:pPr>
                        <a:r>
                          <a:rPr lang="en-US" sz="900">
                            <a:effectLst/>
                            <a:latin typeface="Arial"/>
                            <a:ea typeface="Calibri"/>
                            <a:cs typeface="Times New Roman"/>
                          </a:rPr>
                          <a:t>50cm</a:t>
                        </a:r>
                        <a:endParaRPr lang="en-US" sz="1100">
                          <a:effectLst/>
                          <a:latin typeface="Arial"/>
                          <a:ea typeface="Calibri"/>
                          <a:cs typeface="Times New Roman"/>
                        </a:endParaRPr>
                      </a:p>
                    </xdr:txBody>
                  </xdr:sp>
                  <xdr:sp macro="" textlink="">
                    <xdr:nvSpPr>
                      <xdr:cNvPr id="105" name="Text Box 210"/>
                      <xdr:cNvSpPr txBox="1"/>
                    </xdr:nvSpPr>
                    <xdr:spPr>
                      <a:xfrm>
                        <a:off x="661996" y="576264"/>
                        <a:ext cx="374015" cy="133350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6350">
                        <a:noFill/>
                      </a:ln>
                      <a:effectLst/>
                    </xdr:spPr>
                    <xdr:style>
                      <a:lnRef idx="0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dk1"/>
                      </a:fontRef>
                    </xdr:style>
                    <xdr:txBody>
                      <a:bodyPr rot="0" spcFirstLastPara="0" vert="horz" wrap="square" lIns="0" tIns="9144" rIns="0" bIns="0" numCol="1" spcCol="0" rtlCol="0" fromWordArt="0" anchor="t" anchorCtr="0" forceAA="0" compatLnSpc="1">
                        <a:prstTxWarp prst="textNoShape">
                          <a:avLst/>
                        </a:prstTxWarp>
                        <a:noAutofit/>
                      </a:bodyPr>
                      <a:lstStyle/>
                      <a:p>
                        <a:pPr marL="0" marR="0" algn="ctr">
                          <a:lnSpc>
                            <a:spcPct val="115000"/>
                          </a:lnSpc>
                          <a:spcBef>
                            <a:spcPts val="0"/>
                          </a:spcBef>
                          <a:spcAft>
                            <a:spcPts val="1200"/>
                          </a:spcAft>
                        </a:pPr>
                        <a:r>
                          <a:rPr lang="en-US" sz="900">
                            <a:effectLst/>
                            <a:latin typeface="Arial"/>
                            <a:ea typeface="Calibri"/>
                            <a:cs typeface="Times New Roman"/>
                          </a:rPr>
                          <a:t>10cm</a:t>
                        </a:r>
                        <a:endParaRPr lang="en-US" sz="1100">
                          <a:effectLst/>
                          <a:latin typeface="Arial"/>
                          <a:ea typeface="Calibri"/>
                          <a:cs typeface="Times New Roman"/>
                        </a:endParaRPr>
                      </a:p>
                    </xdr:txBody>
                  </xdr:sp>
                  <xdr:cxnSp macro="">
                    <xdr:nvCxnSpPr>
                      <xdr:cNvPr id="106" name="Straight Connector 105"/>
                      <xdr:cNvCxnSpPr/>
                    </xdr:nvCxnSpPr>
                    <xdr:spPr>
                      <a:xfrm>
                        <a:off x="1015364" y="60961"/>
                        <a:ext cx="0" cy="109728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07" name="Straight Connector 106"/>
                      <xdr:cNvCxnSpPr/>
                    </xdr:nvCxnSpPr>
                    <xdr:spPr>
                      <a:xfrm>
                        <a:off x="479869" y="571500"/>
                        <a:ext cx="635826" cy="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08" name="Straight Connector 107"/>
                      <xdr:cNvCxnSpPr/>
                    </xdr:nvCxnSpPr>
                    <xdr:spPr>
                      <a:xfrm>
                        <a:off x="933450" y="733425"/>
                        <a:ext cx="182245" cy="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109" name="Straight Connector 108"/>
                      <xdr:cNvCxnSpPr/>
                    </xdr:nvCxnSpPr>
                    <xdr:spPr>
                      <a:xfrm>
                        <a:off x="919162" y="1114425"/>
                        <a:ext cx="182245" cy="0"/>
                      </a:xfrm>
                      <a:prstGeom prst="line">
                        <a:avLst/>
                      </a:prstGeom>
                      <a:ln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  <xdr:cxnSp macro="">
                <xdr:nvCxnSpPr>
                  <xdr:cNvPr id="99" name="Straight Connector 98"/>
                  <xdr:cNvCxnSpPr/>
                </xdr:nvCxnSpPr>
                <xdr:spPr>
                  <a:xfrm flipH="1">
                    <a:off x="2419350" y="571500"/>
                    <a:ext cx="457200" cy="0"/>
                  </a:xfrm>
                  <a:prstGeom prst="line">
                    <a:avLst/>
                  </a:prstGeom>
                  <a:ln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97" name="Straight Connector 96"/>
                <xdr:cNvCxnSpPr/>
              </xdr:nvCxnSpPr>
              <xdr:spPr>
                <a:xfrm>
                  <a:off x="3924300" y="6315075"/>
                  <a:ext cx="182230" cy="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75" name="Straight Connector 174"/>
              <xdr:cNvCxnSpPr/>
            </xdr:nvCxnSpPr>
            <xdr:spPr>
              <a:xfrm flipH="1">
                <a:off x="13782675" y="3371850"/>
                <a:ext cx="536901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7" name="Straight Connector 176"/>
              <xdr:cNvCxnSpPr/>
            </xdr:nvCxnSpPr>
            <xdr:spPr>
              <a:xfrm flipH="1">
                <a:off x="13811250" y="2466975"/>
                <a:ext cx="536901" cy="0"/>
              </a:xfrm>
              <a:prstGeom prst="line">
                <a:avLst/>
              </a:prstGeom>
              <a:ln>
                <a:solidFill>
                  <a:schemeClr val="tx1"/>
                </a:solidFill>
                <a:headEnd type="arrow" w="sm" len="med"/>
                <a:tailEnd type="arrow" w="sm" len="med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8" name="Straight Connector 177"/>
              <xdr:cNvCxnSpPr/>
            </xdr:nvCxnSpPr>
            <xdr:spPr>
              <a:xfrm rot="16200000" flipH="1">
                <a:off x="13647265" y="3236440"/>
                <a:ext cx="274320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9" name="Straight Connector 178"/>
              <xdr:cNvCxnSpPr/>
            </xdr:nvCxnSpPr>
            <xdr:spPr>
              <a:xfrm rot="16200000" flipH="1">
                <a:off x="14180665" y="3236440"/>
                <a:ext cx="274320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90" name="Group 189"/>
            <xdr:cNvGrpSpPr/>
          </xdr:nvGrpSpPr>
          <xdr:grpSpPr>
            <a:xfrm>
              <a:off x="13458825" y="2933700"/>
              <a:ext cx="247650" cy="104775"/>
              <a:chOff x="11125200" y="771525"/>
              <a:chExt cx="623888" cy="219075"/>
            </a:xfrm>
          </xdr:grpSpPr>
          <xdr:cxnSp macro="">
            <xdr:nvCxnSpPr>
              <xdr:cNvPr id="181" name="Straight Connector 180"/>
              <xdr:cNvCxnSpPr/>
            </xdr:nvCxnSpPr>
            <xdr:spPr>
              <a:xfrm flipH="1">
                <a:off x="11125200" y="771525"/>
                <a:ext cx="180975" cy="195263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3" name="Straight Connector 182"/>
              <xdr:cNvCxnSpPr/>
            </xdr:nvCxnSpPr>
            <xdr:spPr>
              <a:xfrm flipH="1">
                <a:off x="11272837" y="781050"/>
                <a:ext cx="180975" cy="195263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4" name="Straight Connector 183"/>
              <xdr:cNvCxnSpPr/>
            </xdr:nvCxnSpPr>
            <xdr:spPr>
              <a:xfrm flipH="1">
                <a:off x="11434762" y="781050"/>
                <a:ext cx="180975" cy="195263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5" name="Straight Connector 184"/>
              <xdr:cNvCxnSpPr/>
            </xdr:nvCxnSpPr>
            <xdr:spPr>
              <a:xfrm>
                <a:off x="11453812" y="785813"/>
                <a:ext cx="133350" cy="200025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8" name="Straight Connector 187"/>
              <xdr:cNvCxnSpPr/>
            </xdr:nvCxnSpPr>
            <xdr:spPr>
              <a:xfrm>
                <a:off x="11615738" y="790575"/>
                <a:ext cx="133350" cy="200025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9" name="Straight Connector 188"/>
              <xdr:cNvCxnSpPr/>
            </xdr:nvCxnSpPr>
            <xdr:spPr>
              <a:xfrm>
                <a:off x="11310937" y="785812"/>
                <a:ext cx="133350" cy="200025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192" name="Text Box 210"/>
          <xdr:cNvSpPr txBox="1"/>
        </xdr:nvSpPr>
        <xdr:spPr>
          <a:xfrm>
            <a:off x="14620875" y="2695575"/>
            <a:ext cx="414354" cy="133350"/>
          </a:xfrm>
          <a:prstGeom prst="rect">
            <a:avLst/>
          </a:prstGeom>
          <a:solidFill>
            <a:schemeClr val="lt1"/>
          </a:solidFill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0" tIns="9144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15000"/>
              </a:lnSpc>
              <a:spcBef>
                <a:spcPts val="0"/>
              </a:spcBef>
              <a:spcAft>
                <a:spcPts val="1200"/>
              </a:spcAft>
            </a:pPr>
            <a:r>
              <a:rPr lang="en-US" sz="900">
                <a:effectLst/>
                <a:latin typeface="Arial"/>
                <a:ea typeface="Calibri"/>
                <a:cs typeface="Times New Roman"/>
              </a:rPr>
              <a:t>200cm</a:t>
            </a:r>
            <a:endParaRPr lang="en-US" sz="1100">
              <a:effectLst/>
              <a:latin typeface="Arial"/>
              <a:ea typeface="Calibri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5"/>
  <sheetViews>
    <sheetView topLeftCell="A12" workbookViewId="0">
      <selection activeCell="O16" sqref="O16"/>
    </sheetView>
  </sheetViews>
  <sheetFormatPr defaultRowHeight="15" x14ac:dyDescent="0.25"/>
  <cols>
    <col min="2" max="3" width="5.5703125" bestFit="1" customWidth="1"/>
    <col min="4" max="5" width="6.5703125" bestFit="1" customWidth="1"/>
    <col min="6" max="6" width="7" customWidth="1"/>
    <col min="7" max="11" width="6.5703125" bestFit="1" customWidth="1"/>
    <col min="12" max="13" width="5.5703125" bestFit="1" customWidth="1"/>
    <col min="14" max="14" width="7.28515625" bestFit="1" customWidth="1"/>
    <col min="16" max="16" width="9.28515625" style="1" bestFit="1" customWidth="1"/>
    <col min="17" max="17" width="7.140625" style="1" customWidth="1"/>
    <col min="18" max="18" width="7.140625" style="1" bestFit="1" customWidth="1"/>
    <col min="19" max="19" width="7.140625" style="1" customWidth="1"/>
    <col min="20" max="20" width="4.7109375" style="1" customWidth="1"/>
    <col min="21" max="21" width="22.5703125" style="1" bestFit="1" customWidth="1"/>
    <col min="22" max="22" width="7.5703125" style="1" customWidth="1"/>
    <col min="23" max="23" width="6.5703125" style="1" bestFit="1" customWidth="1"/>
    <col min="24" max="24" width="7.85546875" style="1" customWidth="1"/>
    <col min="25" max="25" width="7.42578125" style="1" customWidth="1"/>
    <col min="26" max="26" width="5.5703125" style="1" bestFit="1" customWidth="1"/>
    <col min="27" max="27" width="4.85546875" customWidth="1"/>
    <col min="28" max="55" width="5.42578125" style="1" customWidth="1"/>
  </cols>
  <sheetData>
    <row r="1" spans="1:73" s="1" customFormat="1" x14ac:dyDescent="0.25">
      <c r="A1" s="61" t="s">
        <v>77</v>
      </c>
      <c r="P1" s="45"/>
      <c r="Q1" s="46"/>
      <c r="R1" s="46"/>
      <c r="S1" s="46"/>
      <c r="T1" s="46"/>
      <c r="U1" s="46"/>
      <c r="V1" s="2" t="s">
        <v>84</v>
      </c>
      <c r="W1" s="2"/>
      <c r="X1" s="2">
        <v>41.706000000000003</v>
      </c>
      <c r="Y1" s="2">
        <v>41.706000000000003</v>
      </c>
      <c r="Z1" s="2">
        <v>41.841999999999999</v>
      </c>
      <c r="AB1" s="199" t="s">
        <v>148</v>
      </c>
      <c r="AC1" s="199"/>
      <c r="AD1" s="199"/>
      <c r="AE1" s="199"/>
      <c r="AF1" s="199"/>
      <c r="AG1" s="199"/>
      <c r="AH1" s="199"/>
      <c r="AI1" s="199"/>
      <c r="AL1" s="199" t="s">
        <v>149</v>
      </c>
      <c r="AM1" s="199"/>
      <c r="AN1" s="199"/>
      <c r="AO1" s="199"/>
      <c r="AP1" s="199"/>
      <c r="AQ1" s="199"/>
      <c r="AR1" s="199"/>
      <c r="AS1" s="199"/>
      <c r="AV1" s="199" t="s">
        <v>151</v>
      </c>
      <c r="AW1" s="199"/>
      <c r="AX1" s="199"/>
      <c r="AY1" s="199"/>
      <c r="AZ1" s="199"/>
      <c r="BA1" s="199"/>
      <c r="BB1" s="199"/>
      <c r="BC1" s="199"/>
    </row>
    <row r="2" spans="1:73" x14ac:dyDescent="0.25">
      <c r="A2" s="2" t="s">
        <v>78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57" t="s">
        <v>76</v>
      </c>
      <c r="P2" s="47"/>
      <c r="Q2" s="48"/>
      <c r="R2" s="48"/>
      <c r="S2" s="48"/>
      <c r="T2" s="48"/>
      <c r="U2" s="48"/>
      <c r="V2" s="2" t="s">
        <v>85</v>
      </c>
      <c r="W2" s="2"/>
      <c r="X2" s="2">
        <v>8.8469999999999995</v>
      </c>
      <c r="Y2" s="2">
        <v>8.7370000000000001</v>
      </c>
      <c r="Z2" s="2">
        <v>9.2690000000000001</v>
      </c>
      <c r="AB2" s="2" t="s">
        <v>82</v>
      </c>
      <c r="AC2" s="2" t="s">
        <v>119</v>
      </c>
      <c r="AD2" s="2" t="s">
        <v>120</v>
      </c>
      <c r="AE2" s="2" t="s">
        <v>121</v>
      </c>
      <c r="AF2" s="2" t="s">
        <v>122</v>
      </c>
      <c r="AG2" s="2" t="s">
        <v>123</v>
      </c>
      <c r="AH2" s="2" t="s">
        <v>124</v>
      </c>
      <c r="AI2" s="2" t="s">
        <v>125</v>
      </c>
      <c r="AJ2" s="2"/>
      <c r="AL2" s="2" t="s">
        <v>82</v>
      </c>
      <c r="AM2" s="2" t="s">
        <v>119</v>
      </c>
      <c r="AN2" s="2" t="s">
        <v>120</v>
      </c>
      <c r="AO2" s="2" t="s">
        <v>121</v>
      </c>
      <c r="AP2" s="2" t="s">
        <v>122</v>
      </c>
      <c r="AQ2" s="2" t="s">
        <v>123</v>
      </c>
      <c r="AR2" s="2" t="s">
        <v>124</v>
      </c>
      <c r="AS2" s="2" t="s">
        <v>125</v>
      </c>
      <c r="AT2" s="2"/>
      <c r="AV2" s="2" t="s">
        <v>82</v>
      </c>
      <c r="AW2" s="2" t="s">
        <v>119</v>
      </c>
      <c r="AX2" s="2" t="s">
        <v>120</v>
      </c>
      <c r="AY2" s="2" t="s">
        <v>121</v>
      </c>
      <c r="AZ2" s="2" t="s">
        <v>122</v>
      </c>
      <c r="BA2" s="2" t="s">
        <v>123</v>
      </c>
      <c r="BB2" s="2" t="s">
        <v>124</v>
      </c>
      <c r="BC2" s="2" t="s">
        <v>125</v>
      </c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x14ac:dyDescent="0.25">
      <c r="A3" s="2">
        <v>1996</v>
      </c>
      <c r="B3" s="58">
        <v>23.905482325517493</v>
      </c>
      <c r="C3" s="58">
        <v>2.5234768864530155</v>
      </c>
      <c r="D3" s="58">
        <v>65.622531935759412</v>
      </c>
      <c r="E3" s="58">
        <v>144.21652518799695</v>
      </c>
      <c r="F3" s="58">
        <v>173.05328807985842</v>
      </c>
      <c r="G3" s="58">
        <v>124.07940267748403</v>
      </c>
      <c r="H3" s="58">
        <v>75.328677127087715</v>
      </c>
      <c r="I3" s="58">
        <v>150.90205767716239</v>
      </c>
      <c r="J3" s="58">
        <v>79.419949152402467</v>
      </c>
      <c r="K3" s="58">
        <v>4.5422979744086636</v>
      </c>
      <c r="L3" s="58">
        <v>37.696038221305542</v>
      </c>
      <c r="M3" s="58">
        <v>2.451211426730513</v>
      </c>
      <c r="N3" s="59">
        <v>883.74093867216664</v>
      </c>
      <c r="P3" s="65" t="s">
        <v>86</v>
      </c>
      <c r="Q3" s="49">
        <v>1659</v>
      </c>
      <c r="R3" s="49">
        <v>2423</v>
      </c>
      <c r="S3" s="49">
        <v>1903</v>
      </c>
      <c r="T3" s="48"/>
      <c r="U3" s="48"/>
      <c r="V3" s="2" t="s">
        <v>87</v>
      </c>
      <c r="W3" s="57">
        <v>1491</v>
      </c>
      <c r="X3" s="57">
        <v>1192</v>
      </c>
      <c r="Y3" s="57">
        <v>1131</v>
      </c>
      <c r="Z3" s="57">
        <v>1865</v>
      </c>
      <c r="AB3" s="2"/>
      <c r="AC3" s="2" t="s">
        <v>126</v>
      </c>
      <c r="AD3" s="2" t="s">
        <v>126</v>
      </c>
      <c r="AE3" s="2" t="s">
        <v>127</v>
      </c>
      <c r="AF3" s="2" t="s">
        <v>128</v>
      </c>
      <c r="AG3" s="2" t="s">
        <v>129</v>
      </c>
      <c r="AH3" s="2" t="s">
        <v>130</v>
      </c>
      <c r="AI3" s="2" t="s">
        <v>131</v>
      </c>
      <c r="AJ3" s="2"/>
      <c r="AL3" s="2"/>
      <c r="AM3" s="2" t="s">
        <v>126</v>
      </c>
      <c r="AN3" s="2" t="s">
        <v>126</v>
      </c>
      <c r="AO3" s="2" t="s">
        <v>127</v>
      </c>
      <c r="AP3" s="2" t="s">
        <v>128</v>
      </c>
      <c r="AQ3" s="2" t="s">
        <v>129</v>
      </c>
      <c r="AR3" s="2" t="s">
        <v>130</v>
      </c>
      <c r="AS3" s="2" t="s">
        <v>131</v>
      </c>
      <c r="AT3" s="2"/>
      <c r="AV3" s="2"/>
      <c r="AW3" s="2" t="s">
        <v>126</v>
      </c>
      <c r="AX3" s="2" t="s">
        <v>126</v>
      </c>
      <c r="AY3" s="2" t="s">
        <v>127</v>
      </c>
      <c r="AZ3" s="2" t="s">
        <v>128</v>
      </c>
      <c r="BA3" s="2" t="s">
        <v>129</v>
      </c>
      <c r="BB3" s="2" t="s">
        <v>130</v>
      </c>
      <c r="BC3" s="2" t="s">
        <v>131</v>
      </c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x14ac:dyDescent="0.25">
      <c r="A4" s="2">
        <v>1997</v>
      </c>
      <c r="B4" s="58">
        <v>4.9981303827662451</v>
      </c>
      <c r="C4" s="58">
        <v>0</v>
      </c>
      <c r="D4" s="58">
        <v>79.038565007165346</v>
      </c>
      <c r="E4" s="58">
        <v>97.379830714953997</v>
      </c>
      <c r="F4" s="58">
        <v>78.216507421357207</v>
      </c>
      <c r="G4" s="58">
        <v>74.693605007715732</v>
      </c>
      <c r="H4" s="58">
        <v>115.76768664379418</v>
      </c>
      <c r="I4" s="58">
        <v>91.111495640951787</v>
      </c>
      <c r="J4" s="58">
        <v>54.76255953618314</v>
      </c>
      <c r="K4" s="58">
        <v>201.03465657423928</v>
      </c>
      <c r="L4" s="58">
        <v>75.028124490049706</v>
      </c>
      <c r="M4" s="58">
        <v>4.35500382092349</v>
      </c>
      <c r="N4" s="59">
        <v>876.38616524010013</v>
      </c>
      <c r="P4" s="47" t="s">
        <v>82</v>
      </c>
      <c r="Q4" s="48" t="s">
        <v>88</v>
      </c>
      <c r="R4" s="48" t="s">
        <v>89</v>
      </c>
      <c r="S4" s="48" t="s">
        <v>90</v>
      </c>
      <c r="T4" s="48"/>
      <c r="U4" s="48"/>
      <c r="V4" s="2" t="s">
        <v>91</v>
      </c>
      <c r="W4" s="2" t="s">
        <v>92</v>
      </c>
      <c r="X4" s="2" t="s">
        <v>93</v>
      </c>
      <c r="Y4" s="2" t="s">
        <v>94</v>
      </c>
      <c r="Z4" s="2" t="s">
        <v>95</v>
      </c>
      <c r="AB4" s="2" t="s">
        <v>132</v>
      </c>
      <c r="AC4" s="2">
        <v>19.899999999999999</v>
      </c>
      <c r="AD4" s="2">
        <v>32.6</v>
      </c>
      <c r="AE4" s="2">
        <v>74</v>
      </c>
      <c r="AF4" s="2">
        <v>173</v>
      </c>
      <c r="AG4" s="2">
        <v>8.1999999999999993</v>
      </c>
      <c r="AH4" s="2">
        <v>19.7</v>
      </c>
      <c r="AI4" s="2">
        <v>4.49</v>
      </c>
      <c r="AJ4" s="2"/>
      <c r="AL4" s="2" t="s">
        <v>132</v>
      </c>
      <c r="AM4" s="2">
        <v>20.5</v>
      </c>
      <c r="AN4" s="2">
        <v>33.1</v>
      </c>
      <c r="AO4" s="2">
        <v>74</v>
      </c>
      <c r="AP4" s="2">
        <v>173</v>
      </c>
      <c r="AQ4" s="2">
        <v>8.1</v>
      </c>
      <c r="AR4" s="2">
        <v>19.600000000000001</v>
      </c>
      <c r="AS4" s="116">
        <v>4.3</v>
      </c>
      <c r="AT4" s="2"/>
      <c r="AV4" s="2" t="s">
        <v>132</v>
      </c>
      <c r="AW4" s="2">
        <v>13.7</v>
      </c>
      <c r="AX4" s="2">
        <v>26.4</v>
      </c>
      <c r="AY4" s="2">
        <v>73</v>
      </c>
      <c r="AZ4" s="2">
        <v>173</v>
      </c>
      <c r="BA4" s="2">
        <v>8.1999999999999993</v>
      </c>
      <c r="BB4" s="2">
        <v>19.600000000000001</v>
      </c>
      <c r="BC4" s="2">
        <v>3.87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x14ac:dyDescent="0.25">
      <c r="A5" s="2">
        <v>1998</v>
      </c>
      <c r="B5" s="58">
        <v>59.573793204760804</v>
      </c>
      <c r="C5" s="58">
        <v>37.322097905385334</v>
      </c>
      <c r="D5" s="58">
        <v>29.595099483974597</v>
      </c>
      <c r="E5" s="58">
        <v>49.430216483606756</v>
      </c>
      <c r="F5" s="58">
        <v>86.020230498333049</v>
      </c>
      <c r="G5" s="58">
        <v>47.332110823324406</v>
      </c>
      <c r="H5" s="58">
        <v>96.556369596832042</v>
      </c>
      <c r="I5" s="58">
        <v>70.765610713371345</v>
      </c>
      <c r="J5" s="58">
        <v>120.80604033091511</v>
      </c>
      <c r="K5" s="58">
        <v>56.974260518638836</v>
      </c>
      <c r="L5" s="58">
        <v>14.508345818520363</v>
      </c>
      <c r="M5" s="58">
        <v>0</v>
      </c>
      <c r="N5" s="59">
        <v>668.8841753776627</v>
      </c>
      <c r="P5" s="47" t="s">
        <v>42</v>
      </c>
      <c r="Q5" s="66">
        <v>16.734715821812593</v>
      </c>
      <c r="R5" s="66">
        <v>9.0917050691244228</v>
      </c>
      <c r="S5" s="66">
        <v>11.846935483870968</v>
      </c>
      <c r="T5" s="48"/>
      <c r="U5" s="66" t="s">
        <v>96</v>
      </c>
      <c r="V5" s="100">
        <v>0.872</v>
      </c>
      <c r="W5" s="58">
        <f>31.004-0.0093*W$3</f>
        <v>17.137700000000002</v>
      </c>
      <c r="X5" s="58">
        <f t="shared" ref="X5:Z5" si="0">31.004-0.0093*X$3</f>
        <v>19.918400000000002</v>
      </c>
      <c r="Y5" s="58">
        <f t="shared" si="0"/>
        <v>20.485700000000001</v>
      </c>
      <c r="Z5" s="58">
        <f t="shared" si="0"/>
        <v>13.659500000000001</v>
      </c>
      <c r="AB5" s="2" t="s">
        <v>133</v>
      </c>
      <c r="AC5" s="2">
        <v>19.399999999999999</v>
      </c>
      <c r="AD5" s="2">
        <v>33</v>
      </c>
      <c r="AE5" s="2">
        <v>72</v>
      </c>
      <c r="AF5" s="2">
        <v>173</v>
      </c>
      <c r="AG5" s="2">
        <v>8.8000000000000007</v>
      </c>
      <c r="AH5" s="2">
        <v>21.8</v>
      </c>
      <c r="AI5" s="2">
        <v>5.0199999999999996</v>
      </c>
      <c r="AJ5" s="2"/>
      <c r="AL5" s="2" t="s">
        <v>133</v>
      </c>
      <c r="AM5" s="2">
        <v>19.899999999999999</v>
      </c>
      <c r="AN5" s="2">
        <v>33.5</v>
      </c>
      <c r="AO5" s="2">
        <v>72</v>
      </c>
      <c r="AP5" s="2">
        <v>173</v>
      </c>
      <c r="AQ5" s="2">
        <v>8.8000000000000007</v>
      </c>
      <c r="AR5" s="2">
        <v>21.8</v>
      </c>
      <c r="AS5" s="116">
        <v>4.8</v>
      </c>
      <c r="AT5" s="2"/>
      <c r="AV5" s="2" t="s">
        <v>133</v>
      </c>
      <c r="AW5" s="2">
        <v>14</v>
      </c>
      <c r="AX5" s="2">
        <v>27.2</v>
      </c>
      <c r="AY5" s="2">
        <v>72</v>
      </c>
      <c r="AZ5" s="2">
        <v>173</v>
      </c>
      <c r="BA5" s="2">
        <v>8.5</v>
      </c>
      <c r="BB5" s="2">
        <v>21.3</v>
      </c>
      <c r="BC5" s="2">
        <v>4.33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x14ac:dyDescent="0.25">
      <c r="A6" s="2">
        <v>1999</v>
      </c>
      <c r="B6" s="58">
        <v>0.80468241924994577</v>
      </c>
      <c r="C6" s="58">
        <v>3.1937146396120291</v>
      </c>
      <c r="D6" s="58">
        <v>110.53853462769563</v>
      </c>
      <c r="E6" s="58">
        <v>40.78819936994087</v>
      </c>
      <c r="F6" s="58">
        <v>68.780584453063824</v>
      </c>
      <c r="G6" s="58">
        <v>61.961019543242784</v>
      </c>
      <c r="H6" s="58">
        <v>102.21722167680912</v>
      </c>
      <c r="I6" s="58">
        <v>151.85296586896104</v>
      </c>
      <c r="J6" s="58">
        <v>95.775379915882922</v>
      </c>
      <c r="K6" s="58">
        <v>131.42132849267909</v>
      </c>
      <c r="L6" s="58">
        <v>6.8924064742092019</v>
      </c>
      <c r="M6" s="58">
        <v>2.6667642724799565</v>
      </c>
      <c r="N6" s="59">
        <v>776.89280175382646</v>
      </c>
      <c r="P6" s="47" t="s">
        <v>43</v>
      </c>
      <c r="Q6" s="66">
        <v>16.764942528735631</v>
      </c>
      <c r="R6" s="66">
        <v>10.135862068965521</v>
      </c>
      <c r="S6" s="66">
        <v>12.29551724137931</v>
      </c>
      <c r="T6" s="48"/>
      <c r="U6" s="66" t="s">
        <v>97</v>
      </c>
      <c r="V6" s="100">
        <v>0.84499999999999997</v>
      </c>
      <c r="W6" s="58">
        <f>28.958-0.008*W$3</f>
        <v>17.029999999999998</v>
      </c>
      <c r="X6" s="58">
        <f t="shared" ref="X6:Z6" si="1">28.958-0.008*X$3</f>
        <v>19.421999999999997</v>
      </c>
      <c r="Y6" s="58">
        <f t="shared" si="1"/>
        <v>19.909999999999997</v>
      </c>
      <c r="Z6" s="58">
        <f t="shared" si="1"/>
        <v>14.037999999999998</v>
      </c>
      <c r="AB6" s="2" t="s">
        <v>134</v>
      </c>
      <c r="AC6" s="2">
        <v>20.399999999999999</v>
      </c>
      <c r="AD6" s="2">
        <v>32.9</v>
      </c>
      <c r="AE6" s="2">
        <v>74</v>
      </c>
      <c r="AF6" s="2">
        <v>173</v>
      </c>
      <c r="AG6" s="2">
        <v>8.3000000000000007</v>
      </c>
      <c r="AH6" s="2">
        <v>22.1</v>
      </c>
      <c r="AI6" s="2">
        <v>5.14</v>
      </c>
      <c r="AJ6" s="2"/>
      <c r="AL6" s="2" t="s">
        <v>134</v>
      </c>
      <c r="AM6" s="2">
        <v>20.9</v>
      </c>
      <c r="AN6" s="2">
        <v>33.4</v>
      </c>
      <c r="AO6" s="2">
        <v>74</v>
      </c>
      <c r="AP6" s="2">
        <v>173</v>
      </c>
      <c r="AQ6" s="2">
        <v>8.3000000000000007</v>
      </c>
      <c r="AR6" s="2">
        <v>22.2</v>
      </c>
      <c r="AS6" s="117">
        <v>5</v>
      </c>
      <c r="AT6" s="2"/>
      <c r="AV6" s="2" t="s">
        <v>134</v>
      </c>
      <c r="AW6" s="2">
        <v>15</v>
      </c>
      <c r="AX6" s="2">
        <v>27.1</v>
      </c>
      <c r="AY6" s="2">
        <v>74</v>
      </c>
      <c r="AZ6" s="2">
        <v>173</v>
      </c>
      <c r="BA6" s="2">
        <v>8.1</v>
      </c>
      <c r="BB6" s="2">
        <v>21.7</v>
      </c>
      <c r="BC6" s="2">
        <v>4.47</v>
      </c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x14ac:dyDescent="0.25">
      <c r="A7" s="2">
        <v>2000</v>
      </c>
      <c r="B7" s="58">
        <v>0</v>
      </c>
      <c r="C7" s="58">
        <v>0</v>
      </c>
      <c r="D7" s="58">
        <v>9.7495043248800073</v>
      </c>
      <c r="E7" s="58">
        <v>103.9589715778604</v>
      </c>
      <c r="F7" s="58">
        <v>97.601628310368767</v>
      </c>
      <c r="G7" s="58">
        <v>36.254535686048712</v>
      </c>
      <c r="H7" s="58">
        <v>52.971652297374398</v>
      </c>
      <c r="I7" s="58">
        <v>125.05561146408385</v>
      </c>
      <c r="J7" s="58">
        <v>118.20563586294705</v>
      </c>
      <c r="K7" s="58">
        <v>32.252550371484318</v>
      </c>
      <c r="L7" s="58">
        <v>39.384382314052452</v>
      </c>
      <c r="M7" s="58">
        <v>7.5838626573127055</v>
      </c>
      <c r="N7" s="59">
        <v>623.0183348664126</v>
      </c>
      <c r="P7" s="47" t="s">
        <v>44</v>
      </c>
      <c r="Q7" s="66">
        <v>17.326228878648234</v>
      </c>
      <c r="R7" s="66">
        <v>10.8125</v>
      </c>
      <c r="S7" s="66">
        <v>13.569193548387098</v>
      </c>
      <c r="T7" s="48"/>
      <c r="U7" s="66" t="s">
        <v>98</v>
      </c>
      <c r="V7" s="100">
        <v>0.91600000000000004</v>
      </c>
      <c r="W7" s="58">
        <f>29.901-0.008*W$3</f>
        <v>17.972999999999999</v>
      </c>
      <c r="X7" s="58">
        <f t="shared" ref="X7:Z7" si="2">29.901-0.008*X$3</f>
        <v>20.365000000000002</v>
      </c>
      <c r="Y7" s="58">
        <f t="shared" si="2"/>
        <v>20.853000000000002</v>
      </c>
      <c r="Z7" s="58">
        <f t="shared" si="2"/>
        <v>14.981</v>
      </c>
      <c r="AB7" s="2" t="s">
        <v>135</v>
      </c>
      <c r="AC7" s="2">
        <v>19.7</v>
      </c>
      <c r="AD7" s="2">
        <v>32.6</v>
      </c>
      <c r="AE7" s="2">
        <v>73</v>
      </c>
      <c r="AF7" s="2">
        <v>173</v>
      </c>
      <c r="AG7" s="2">
        <v>8.6999999999999993</v>
      </c>
      <c r="AH7" s="2">
        <v>22.9</v>
      </c>
      <c r="AI7" s="2">
        <v>5.27</v>
      </c>
      <c r="AJ7" s="2"/>
      <c r="AL7" s="2" t="s">
        <v>135</v>
      </c>
      <c r="AM7" s="2">
        <v>20.2</v>
      </c>
      <c r="AN7" s="2">
        <v>33.1</v>
      </c>
      <c r="AO7" s="2">
        <v>73</v>
      </c>
      <c r="AP7" s="2">
        <v>173</v>
      </c>
      <c r="AQ7" s="2">
        <v>8.6999999999999993</v>
      </c>
      <c r="AR7" s="2">
        <v>23</v>
      </c>
      <c r="AS7" s="116">
        <v>5.0999999999999996</v>
      </c>
      <c r="AT7" s="2"/>
      <c r="AV7" s="2" t="s">
        <v>135</v>
      </c>
      <c r="AW7" s="2">
        <v>14.9</v>
      </c>
      <c r="AX7" s="2">
        <v>26.4</v>
      </c>
      <c r="AY7" s="2">
        <v>75</v>
      </c>
      <c r="AZ7" s="2">
        <v>173</v>
      </c>
      <c r="BA7" s="2">
        <v>7.9</v>
      </c>
      <c r="BB7" s="2">
        <v>21.7</v>
      </c>
      <c r="BC7" s="2">
        <v>4.4400000000000004</v>
      </c>
    </row>
    <row r="8" spans="1:73" x14ac:dyDescent="0.25">
      <c r="A8" s="2">
        <v>2001</v>
      </c>
      <c r="B8" s="58">
        <v>2.0593233739256753</v>
      </c>
      <c r="C8" s="58">
        <v>4.2871259798780912</v>
      </c>
      <c r="D8" s="58">
        <v>59.005851007069253</v>
      </c>
      <c r="E8" s="58">
        <v>63.196318240688591</v>
      </c>
      <c r="F8" s="58">
        <v>112.88267925891905</v>
      </c>
      <c r="G8" s="58">
        <v>44.97618588349038</v>
      </c>
      <c r="H8" s="58">
        <v>72.47473285906544</v>
      </c>
      <c r="I8" s="58">
        <v>153.70035839184115</v>
      </c>
      <c r="J8" s="58">
        <v>35.055564897601258</v>
      </c>
      <c r="K8" s="58">
        <v>21.268478260755526</v>
      </c>
      <c r="L8" s="58">
        <v>4.7196861905588428</v>
      </c>
      <c r="M8" s="58">
        <v>5.8330143284838885</v>
      </c>
      <c r="N8" s="59">
        <v>579.45931867227705</v>
      </c>
      <c r="P8" s="47" t="s">
        <v>45</v>
      </c>
      <c r="Q8" s="66">
        <v>16.815000000000005</v>
      </c>
      <c r="R8" s="66">
        <v>11.014814814814814</v>
      </c>
      <c r="S8" s="66">
        <v>13.799555555555555</v>
      </c>
      <c r="T8" s="48"/>
      <c r="U8" s="66" t="s">
        <v>99</v>
      </c>
      <c r="V8" s="100">
        <v>0.94899999999999995</v>
      </c>
      <c r="W8" s="58">
        <f>28.321-0.0072*W$3</f>
        <v>17.585800000000003</v>
      </c>
      <c r="X8" s="58">
        <f t="shared" ref="X8:Z8" si="3">28.321-0.0072*X$3</f>
        <v>19.738600000000002</v>
      </c>
      <c r="Y8" s="58">
        <f t="shared" si="3"/>
        <v>20.177800000000001</v>
      </c>
      <c r="Z8" s="58">
        <f t="shared" si="3"/>
        <v>14.893000000000002</v>
      </c>
      <c r="AB8" s="2" t="s">
        <v>46</v>
      </c>
      <c r="AC8" s="2">
        <v>19.2</v>
      </c>
      <c r="AD8" s="2">
        <v>32.299999999999997</v>
      </c>
      <c r="AE8" s="2">
        <v>73</v>
      </c>
      <c r="AF8" s="2">
        <v>173</v>
      </c>
      <c r="AG8" s="2">
        <v>9</v>
      </c>
      <c r="AH8" s="2">
        <v>22.9</v>
      </c>
      <c r="AI8" s="2">
        <v>5.24</v>
      </c>
      <c r="AJ8" s="2"/>
      <c r="AL8" s="2" t="s">
        <v>46</v>
      </c>
      <c r="AM8" s="2">
        <v>19.600000000000001</v>
      </c>
      <c r="AN8" s="2">
        <v>32.9</v>
      </c>
      <c r="AO8" s="2">
        <v>73</v>
      </c>
      <c r="AP8" s="2">
        <v>173</v>
      </c>
      <c r="AQ8" s="2">
        <v>9.1</v>
      </c>
      <c r="AR8" s="2">
        <v>23</v>
      </c>
      <c r="AS8" s="116">
        <v>5.0999999999999996</v>
      </c>
      <c r="AT8" s="2"/>
      <c r="AV8" s="2" t="s">
        <v>46</v>
      </c>
      <c r="AW8" s="2">
        <v>14.6</v>
      </c>
      <c r="AX8" s="2">
        <v>26.1</v>
      </c>
      <c r="AY8" s="2">
        <v>75</v>
      </c>
      <c r="AZ8" s="2">
        <v>173</v>
      </c>
      <c r="BA8" s="2">
        <v>8</v>
      </c>
      <c r="BB8" s="2">
        <v>21.4</v>
      </c>
      <c r="BC8" s="2">
        <v>4.34</v>
      </c>
    </row>
    <row r="9" spans="1:73" x14ac:dyDescent="0.25">
      <c r="A9" s="2">
        <v>2002</v>
      </c>
      <c r="B9" s="58">
        <v>39.741669092316513</v>
      </c>
      <c r="C9" s="58">
        <v>0.93550580090562663</v>
      </c>
      <c r="D9" s="58">
        <v>52.502113158655085</v>
      </c>
      <c r="E9" s="58">
        <v>77.795247151127924</v>
      </c>
      <c r="F9" s="58">
        <v>35.677859203158157</v>
      </c>
      <c r="G9" s="58">
        <v>47.127135803839749</v>
      </c>
      <c r="H9" s="58">
        <v>73.071000404424368</v>
      </c>
      <c r="I9" s="58">
        <v>126.37169414706565</v>
      </c>
      <c r="J9" s="58">
        <v>77.911849389326107</v>
      </c>
      <c r="K9" s="58">
        <v>42.593135380213745</v>
      </c>
      <c r="L9" s="58">
        <v>2.8733911472278835</v>
      </c>
      <c r="M9" s="58">
        <v>47.133001557466606</v>
      </c>
      <c r="N9" s="59">
        <v>623.7336022357274</v>
      </c>
      <c r="P9" s="47" t="s">
        <v>46</v>
      </c>
      <c r="Q9" s="66">
        <v>16.543855606758832</v>
      </c>
      <c r="R9" s="66">
        <v>11.042293906810036</v>
      </c>
      <c r="S9" s="66">
        <v>13.683870967741937</v>
      </c>
      <c r="T9" s="48"/>
      <c r="U9" s="66" t="s">
        <v>100</v>
      </c>
      <c r="V9" s="100">
        <v>0.94899999999999995</v>
      </c>
      <c r="W9" s="58">
        <f>27.458-0.0069*W$3</f>
        <v>17.170099999999998</v>
      </c>
      <c r="X9" s="58">
        <f t="shared" ref="X9:Z9" si="4">27.458-0.0069*X$3</f>
        <v>19.233199999999997</v>
      </c>
      <c r="Y9" s="58">
        <f t="shared" si="4"/>
        <v>19.6541</v>
      </c>
      <c r="Z9" s="58">
        <f t="shared" si="4"/>
        <v>14.589499999999999</v>
      </c>
      <c r="AB9" s="2" t="s">
        <v>136</v>
      </c>
      <c r="AC9" s="2">
        <v>17.8</v>
      </c>
      <c r="AD9" s="2">
        <v>29.9</v>
      </c>
      <c r="AE9" s="2">
        <v>74</v>
      </c>
      <c r="AF9" s="2">
        <v>173</v>
      </c>
      <c r="AG9" s="2">
        <v>8.5</v>
      </c>
      <c r="AH9" s="2">
        <v>21.6</v>
      </c>
      <c r="AI9" s="2">
        <v>4.74</v>
      </c>
      <c r="AJ9" s="2"/>
      <c r="AL9" s="2" t="s">
        <v>136</v>
      </c>
      <c r="AM9" s="2">
        <v>18.100000000000001</v>
      </c>
      <c r="AN9" s="2">
        <v>30.4</v>
      </c>
      <c r="AO9" s="2">
        <v>74</v>
      </c>
      <c r="AP9" s="2">
        <v>173</v>
      </c>
      <c r="AQ9" s="2">
        <v>8.6</v>
      </c>
      <c r="AR9" s="2">
        <v>21.7</v>
      </c>
      <c r="AS9" s="116">
        <v>4.5999999999999996</v>
      </c>
      <c r="AT9" s="2"/>
      <c r="AV9" s="2" t="s">
        <v>136</v>
      </c>
      <c r="AW9" s="2">
        <v>13.9</v>
      </c>
      <c r="AX9" s="2">
        <v>25.2</v>
      </c>
      <c r="AY9" s="2">
        <v>75</v>
      </c>
      <c r="AZ9" s="2">
        <v>173</v>
      </c>
      <c r="BA9" s="2">
        <v>8</v>
      </c>
      <c r="BB9" s="2">
        <v>21</v>
      </c>
      <c r="BC9" s="2">
        <v>4.17</v>
      </c>
    </row>
    <row r="10" spans="1:73" x14ac:dyDescent="0.25">
      <c r="A10" s="2">
        <v>2003</v>
      </c>
      <c r="B10" s="58">
        <v>12.798653366003956</v>
      </c>
      <c r="C10" s="58">
        <v>4.1377573131089171</v>
      </c>
      <c r="D10" s="58">
        <v>24.841881564189578</v>
      </c>
      <c r="E10" s="58">
        <v>136.76567349197143</v>
      </c>
      <c r="F10" s="58">
        <v>23.434319255671902</v>
      </c>
      <c r="G10" s="58">
        <v>59.270130266720457</v>
      </c>
      <c r="H10" s="58">
        <v>95.866043114936545</v>
      </c>
      <c r="I10" s="58">
        <v>112.38301283029716</v>
      </c>
      <c r="J10" s="58">
        <v>86.828365988534273</v>
      </c>
      <c r="K10" s="58">
        <v>4.0581220130736479</v>
      </c>
      <c r="L10" s="58">
        <v>0.67013262343095581</v>
      </c>
      <c r="M10" s="58">
        <v>39.533616306580562</v>
      </c>
      <c r="N10" s="59">
        <v>600.5877081345194</v>
      </c>
      <c r="P10" s="47" t="s">
        <v>47</v>
      </c>
      <c r="Q10" s="66">
        <v>15.281428571428572</v>
      </c>
      <c r="R10" s="66">
        <v>10.731666666666667</v>
      </c>
      <c r="S10" s="66">
        <v>13.313888888888886</v>
      </c>
      <c r="T10" s="48"/>
      <c r="U10" s="66" t="s">
        <v>101</v>
      </c>
      <c r="V10" s="100">
        <v>0.98399999999999999</v>
      </c>
      <c r="W10" s="58">
        <f>24.68-0.0058*W$3</f>
        <v>16.0322</v>
      </c>
      <c r="X10" s="58">
        <f t="shared" ref="X10:Z10" si="5">24.68-0.0058*X$3</f>
        <v>17.766400000000001</v>
      </c>
      <c r="Y10" s="58">
        <f t="shared" si="5"/>
        <v>18.120200000000001</v>
      </c>
      <c r="Z10" s="58">
        <f t="shared" si="5"/>
        <v>13.863000000000001</v>
      </c>
      <c r="AB10" s="2" t="s">
        <v>137</v>
      </c>
      <c r="AC10" s="2">
        <v>17.8</v>
      </c>
      <c r="AD10" s="2">
        <v>29</v>
      </c>
      <c r="AE10" s="2">
        <v>75</v>
      </c>
      <c r="AF10" s="2">
        <v>173</v>
      </c>
      <c r="AG10" s="2">
        <v>8</v>
      </c>
      <c r="AH10" s="2">
        <v>20.9</v>
      </c>
      <c r="AI10" s="2">
        <v>4.46</v>
      </c>
      <c r="AJ10" s="2"/>
      <c r="AL10" s="2" t="s">
        <v>137</v>
      </c>
      <c r="AM10" s="2">
        <v>18.2</v>
      </c>
      <c r="AN10" s="2">
        <v>29.4</v>
      </c>
      <c r="AO10" s="2">
        <v>76</v>
      </c>
      <c r="AP10" s="2">
        <v>173</v>
      </c>
      <c r="AQ10" s="2">
        <v>7.9</v>
      </c>
      <c r="AR10" s="2">
        <v>20.9</v>
      </c>
      <c r="AS10" s="116">
        <v>4.3</v>
      </c>
      <c r="AT10" s="2"/>
      <c r="AV10" s="2" t="s">
        <v>137</v>
      </c>
      <c r="AW10" s="2">
        <v>13.8</v>
      </c>
      <c r="AX10" s="2">
        <v>24.6</v>
      </c>
      <c r="AY10" s="2">
        <v>76</v>
      </c>
      <c r="AZ10" s="2">
        <v>173</v>
      </c>
      <c r="BA10" s="2">
        <v>7.7</v>
      </c>
      <c r="BB10" s="2">
        <v>20.6</v>
      </c>
      <c r="BC10" s="2">
        <v>4.04</v>
      </c>
    </row>
    <row r="11" spans="1:73" x14ac:dyDescent="0.25">
      <c r="A11" s="2">
        <v>2004</v>
      </c>
      <c r="B11" s="58">
        <v>28.785860642527226</v>
      </c>
      <c r="C11" s="58">
        <v>0</v>
      </c>
      <c r="D11" s="58">
        <v>25.508047948163483</v>
      </c>
      <c r="E11" s="58">
        <v>148.88874336333515</v>
      </c>
      <c r="F11" s="58">
        <v>23.038213833150667</v>
      </c>
      <c r="G11" s="58">
        <v>45.41800657823083</v>
      </c>
      <c r="H11" s="58">
        <v>68.099170858563369</v>
      </c>
      <c r="I11" s="58">
        <v>78.022299264452741</v>
      </c>
      <c r="J11" s="58">
        <v>89.707966186379679</v>
      </c>
      <c r="K11" s="58">
        <v>43.063178220603227</v>
      </c>
      <c r="L11" s="58">
        <v>21.340120046214714</v>
      </c>
      <c r="M11" s="58">
        <v>7.2625528947397209</v>
      </c>
      <c r="N11" s="59">
        <v>579.13415983636082</v>
      </c>
      <c r="P11" s="47" t="s">
        <v>48</v>
      </c>
      <c r="Q11" s="66">
        <v>15.389247311827958</v>
      </c>
      <c r="R11" s="66">
        <v>10.622804659498209</v>
      </c>
      <c r="S11" s="66">
        <v>13.018709677419354</v>
      </c>
      <c r="T11" s="48"/>
      <c r="U11" s="66" t="s">
        <v>102</v>
      </c>
      <c r="V11" s="100">
        <v>0.96</v>
      </c>
      <c r="W11" s="58">
        <f>24.945-0.006*W$3</f>
        <v>15.999000000000001</v>
      </c>
      <c r="X11" s="58">
        <f t="shared" ref="X11:Z11" si="6">24.945-0.006*X$3</f>
        <v>17.792999999999999</v>
      </c>
      <c r="Y11" s="58">
        <f t="shared" si="6"/>
        <v>18.158999999999999</v>
      </c>
      <c r="Z11" s="58">
        <f t="shared" si="6"/>
        <v>13.755000000000001</v>
      </c>
      <c r="AB11" s="2" t="s">
        <v>138</v>
      </c>
      <c r="AC11" s="2">
        <v>17.899999999999999</v>
      </c>
      <c r="AD11" s="2">
        <v>30.8</v>
      </c>
      <c r="AE11" s="2">
        <v>73</v>
      </c>
      <c r="AF11" s="2">
        <v>173</v>
      </c>
      <c r="AG11" s="2">
        <v>8.9</v>
      </c>
      <c r="AH11" s="2">
        <v>22.9</v>
      </c>
      <c r="AI11" s="2">
        <v>5.01</v>
      </c>
      <c r="AJ11" s="2"/>
      <c r="AL11" s="2" t="s">
        <v>138</v>
      </c>
      <c r="AM11" s="2">
        <v>18.3</v>
      </c>
      <c r="AN11" s="2">
        <v>31.3</v>
      </c>
      <c r="AO11" s="2">
        <v>73</v>
      </c>
      <c r="AP11" s="2">
        <v>173</v>
      </c>
      <c r="AQ11" s="2">
        <v>9</v>
      </c>
      <c r="AR11" s="2">
        <v>22.9</v>
      </c>
      <c r="AS11" s="116">
        <v>4.8</v>
      </c>
      <c r="AT11" s="2"/>
      <c r="AV11" s="2" t="s">
        <v>138</v>
      </c>
      <c r="AW11" s="2">
        <v>13.8</v>
      </c>
      <c r="AX11" s="2">
        <v>25.3</v>
      </c>
      <c r="AY11" s="2">
        <v>74</v>
      </c>
      <c r="AZ11" s="2">
        <v>173</v>
      </c>
      <c r="BA11" s="2">
        <v>8.1</v>
      </c>
      <c r="BB11" s="2">
        <v>21.7</v>
      </c>
      <c r="BC11" s="2">
        <v>4.2699999999999996</v>
      </c>
    </row>
    <row r="12" spans="1:73" x14ac:dyDescent="0.25">
      <c r="A12" s="2">
        <v>2005</v>
      </c>
      <c r="B12" s="58">
        <v>6.0649007591180908</v>
      </c>
      <c r="C12" s="58">
        <v>5.9002605657920082</v>
      </c>
      <c r="D12" s="58">
        <v>59.908469117842202</v>
      </c>
      <c r="E12" s="58">
        <v>96.891628558724577</v>
      </c>
      <c r="F12" s="58">
        <v>106.12403827653567</v>
      </c>
      <c r="G12" s="58">
        <v>19.815347810183184</v>
      </c>
      <c r="H12" s="58">
        <v>72.738461761686509</v>
      </c>
      <c r="I12" s="58">
        <v>85.848018244995373</v>
      </c>
      <c r="J12" s="58">
        <v>105.76829395044227</v>
      </c>
      <c r="K12" s="58">
        <v>21.797641354794028</v>
      </c>
      <c r="L12" s="58">
        <v>21.066929625085365</v>
      </c>
      <c r="M12" s="58">
        <v>0</v>
      </c>
      <c r="N12" s="59">
        <v>601.92399002519915</v>
      </c>
      <c r="P12" s="47" t="s">
        <v>49</v>
      </c>
      <c r="Q12" s="66">
        <v>15.359016897081412</v>
      </c>
      <c r="R12" s="66">
        <v>10.57383512544803</v>
      </c>
      <c r="S12" s="66">
        <v>13.221290322580646</v>
      </c>
      <c r="T12" s="48"/>
      <c r="U12" s="66" t="s">
        <v>103</v>
      </c>
      <c r="V12" s="100">
        <v>0.97899999999999998</v>
      </c>
      <c r="W12" s="58">
        <f>25.179-0.0061*W$3</f>
        <v>16.0839</v>
      </c>
      <c r="X12" s="58">
        <f t="shared" ref="X12:Z12" si="7">25.179-0.0061*X$3</f>
        <v>17.907799999999998</v>
      </c>
      <c r="Y12" s="58">
        <f t="shared" si="7"/>
        <v>18.279899999999998</v>
      </c>
      <c r="Z12" s="58">
        <f t="shared" si="7"/>
        <v>13.802499999999998</v>
      </c>
      <c r="AB12" s="2" t="s">
        <v>139</v>
      </c>
      <c r="AC12" s="2">
        <v>17.100000000000001</v>
      </c>
      <c r="AD12" s="2">
        <v>29.5</v>
      </c>
      <c r="AE12" s="2">
        <v>74</v>
      </c>
      <c r="AF12" s="2">
        <v>173</v>
      </c>
      <c r="AG12" s="2">
        <v>8.5</v>
      </c>
      <c r="AH12" s="2">
        <v>22.3</v>
      </c>
      <c r="AI12" s="2">
        <v>4.7699999999999996</v>
      </c>
      <c r="AJ12" s="2"/>
      <c r="AL12" s="2" t="s">
        <v>139</v>
      </c>
      <c r="AM12" s="2">
        <v>17.5</v>
      </c>
      <c r="AN12" s="2">
        <v>29.9</v>
      </c>
      <c r="AO12" s="2">
        <v>74</v>
      </c>
      <c r="AP12" s="2">
        <v>173</v>
      </c>
      <c r="AQ12" s="2">
        <v>8.5</v>
      </c>
      <c r="AR12" s="2">
        <v>22.3</v>
      </c>
      <c r="AS12" s="116">
        <v>4.5999999999999996</v>
      </c>
      <c r="AT12" s="2"/>
      <c r="AV12" s="2" t="s">
        <v>139</v>
      </c>
      <c r="AW12" s="2">
        <v>13.6</v>
      </c>
      <c r="AX12" s="2">
        <v>25.1</v>
      </c>
      <c r="AY12" s="2">
        <v>74</v>
      </c>
      <c r="AZ12" s="2">
        <v>173</v>
      </c>
      <c r="BA12" s="2">
        <v>7.9</v>
      </c>
      <c r="BB12" s="2">
        <v>21.4</v>
      </c>
      <c r="BC12" s="2">
        <v>4.22</v>
      </c>
    </row>
    <row r="13" spans="1:73" x14ac:dyDescent="0.25">
      <c r="A13" s="2">
        <v>2006</v>
      </c>
      <c r="B13" s="58">
        <v>1.6886543535620053</v>
      </c>
      <c r="C13" s="58">
        <v>25.75053878985328</v>
      </c>
      <c r="D13" s="58">
        <v>36.786585329337186</v>
      </c>
      <c r="E13" s="58">
        <v>104.68399973963804</v>
      </c>
      <c r="F13" s="58">
        <v>92.879961242948298</v>
      </c>
      <c r="G13" s="58">
        <v>62.480211081794195</v>
      </c>
      <c r="H13" s="58">
        <v>100.98153034300795</v>
      </c>
      <c r="I13" s="58">
        <v>161.60422163588393</v>
      </c>
      <c r="J13" s="58">
        <v>144.54881266490764</v>
      </c>
      <c r="K13" s="58">
        <v>59.27176781002639</v>
      </c>
      <c r="L13" s="58">
        <v>1.3509234828496042</v>
      </c>
      <c r="M13" s="58">
        <v>74.638522427440634</v>
      </c>
      <c r="N13" s="59">
        <v>866.66572890124917</v>
      </c>
      <c r="P13" s="47" t="s">
        <v>50</v>
      </c>
      <c r="Q13" s="66">
        <v>14.936904761904771</v>
      </c>
      <c r="R13" s="66">
        <v>10.85125</v>
      </c>
      <c r="S13" s="66">
        <v>13.130666666666663</v>
      </c>
      <c r="T13" s="48"/>
      <c r="U13" s="66" t="s">
        <v>104</v>
      </c>
      <c r="V13" s="100">
        <v>0.98099999999999998</v>
      </c>
      <c r="W13" s="58">
        <f>23.339-0.0052*W$3</f>
        <v>15.585799999999999</v>
      </c>
      <c r="X13" s="58">
        <f t="shared" ref="X13:Z13" si="8">23.339-0.0052*X$3</f>
        <v>17.140599999999999</v>
      </c>
      <c r="Y13" s="58">
        <f t="shared" si="8"/>
        <v>17.457799999999999</v>
      </c>
      <c r="Z13" s="58">
        <f t="shared" si="8"/>
        <v>13.640999999999998</v>
      </c>
      <c r="AB13" s="2" t="s">
        <v>140</v>
      </c>
      <c r="AC13" s="2">
        <v>16.399999999999999</v>
      </c>
      <c r="AD13" s="2">
        <v>31.9</v>
      </c>
      <c r="AE13" s="2">
        <v>70</v>
      </c>
      <c r="AF13" s="2">
        <v>173</v>
      </c>
      <c r="AG13" s="2">
        <v>10</v>
      </c>
      <c r="AH13" s="2">
        <v>23.7</v>
      </c>
      <c r="AI13" s="2">
        <v>5.05</v>
      </c>
      <c r="AJ13" s="2"/>
      <c r="AL13" s="2" t="s">
        <v>140</v>
      </c>
      <c r="AM13" s="2">
        <v>16.8</v>
      </c>
      <c r="AN13" s="2">
        <v>32.4</v>
      </c>
      <c r="AO13" s="2">
        <v>70</v>
      </c>
      <c r="AP13" s="2">
        <v>173</v>
      </c>
      <c r="AQ13" s="2">
        <v>10</v>
      </c>
      <c r="AR13" s="2">
        <v>23.8</v>
      </c>
      <c r="AS13" s="116">
        <v>4.9000000000000004</v>
      </c>
      <c r="AT13" s="2"/>
      <c r="AV13" s="2" t="s">
        <v>140</v>
      </c>
      <c r="AW13" s="2">
        <v>12.6</v>
      </c>
      <c r="AX13" s="2">
        <v>25.9</v>
      </c>
      <c r="AY13" s="2">
        <v>72</v>
      </c>
      <c r="AZ13" s="2">
        <v>173</v>
      </c>
      <c r="BA13" s="2">
        <v>8.8000000000000007</v>
      </c>
      <c r="BB13" s="2">
        <v>22</v>
      </c>
      <c r="BC13" s="2">
        <v>4.13</v>
      </c>
    </row>
    <row r="14" spans="1:73" x14ac:dyDescent="0.25">
      <c r="A14" s="2">
        <v>2007</v>
      </c>
      <c r="B14" s="58">
        <v>0</v>
      </c>
      <c r="C14" s="58">
        <v>1.3931398416886545</v>
      </c>
      <c r="D14" s="58">
        <v>24.319313263479884</v>
      </c>
      <c r="E14" s="58">
        <v>126.32947497807903</v>
      </c>
      <c r="F14" s="58">
        <v>90.065110245394621</v>
      </c>
      <c r="G14" s="58">
        <v>60.364200405754744</v>
      </c>
      <c r="H14" s="58">
        <v>96.869319262609679</v>
      </c>
      <c r="I14" s="58">
        <v>95.114643636769927</v>
      </c>
      <c r="J14" s="58">
        <v>132.02432514111345</v>
      </c>
      <c r="K14" s="58">
        <v>41.956705492302873</v>
      </c>
      <c r="L14" s="58">
        <v>11.346826232544981</v>
      </c>
      <c r="M14" s="58">
        <v>0</v>
      </c>
      <c r="N14" s="59">
        <v>679.78305849973788</v>
      </c>
      <c r="P14" s="47" t="s">
        <v>51</v>
      </c>
      <c r="Q14" s="66">
        <v>16.285376344086021</v>
      </c>
      <c r="R14" s="66">
        <v>10.180286738351253</v>
      </c>
      <c r="S14" s="66">
        <v>12.409032258064519</v>
      </c>
      <c r="T14" s="48"/>
      <c r="U14" s="66" t="s">
        <v>105</v>
      </c>
      <c r="V14" s="100">
        <v>0.98799999999999999</v>
      </c>
      <c r="W14" s="58">
        <f>23.229-0.0057*W$3</f>
        <v>14.7303</v>
      </c>
      <c r="X14" s="58">
        <f t="shared" ref="X14:Z14" si="9">23.229-0.0057*X$3</f>
        <v>16.4346</v>
      </c>
      <c r="Y14" s="58">
        <f t="shared" si="9"/>
        <v>16.782299999999999</v>
      </c>
      <c r="Z14" s="58">
        <f t="shared" si="9"/>
        <v>12.5985</v>
      </c>
      <c r="AB14" s="2" t="s">
        <v>141</v>
      </c>
      <c r="AC14" s="2">
        <v>16.2</v>
      </c>
      <c r="AD14" s="2">
        <v>48.6</v>
      </c>
      <c r="AE14" s="2">
        <v>58</v>
      </c>
      <c r="AF14" s="2">
        <v>173</v>
      </c>
      <c r="AG14" s="2">
        <v>16.7</v>
      </c>
      <c r="AH14" s="2">
        <v>32</v>
      </c>
      <c r="AI14" s="2">
        <v>8.89</v>
      </c>
      <c r="AJ14" s="2"/>
      <c r="AL14" s="2" t="s">
        <v>141</v>
      </c>
      <c r="AM14" s="2">
        <v>16.600000000000001</v>
      </c>
      <c r="AN14" s="2">
        <v>48.6</v>
      </c>
      <c r="AO14" s="2">
        <v>58</v>
      </c>
      <c r="AP14" s="2">
        <v>173</v>
      </c>
      <c r="AQ14" s="2">
        <v>16.600000000000001</v>
      </c>
      <c r="AR14" s="2">
        <v>31.9</v>
      </c>
      <c r="AS14" s="116">
        <v>4.8</v>
      </c>
      <c r="AT14" s="2"/>
      <c r="AV14" s="2" t="s">
        <v>141</v>
      </c>
      <c r="AW14" s="2">
        <v>12.2</v>
      </c>
      <c r="AX14" s="2">
        <v>47.8</v>
      </c>
      <c r="AY14" s="2">
        <v>56</v>
      </c>
      <c r="AZ14" s="2">
        <v>173</v>
      </c>
      <c r="BA14" s="2">
        <v>17.8</v>
      </c>
      <c r="BB14" s="2">
        <v>33.299999999999997</v>
      </c>
      <c r="BC14" s="2">
        <v>8.8800000000000008</v>
      </c>
    </row>
    <row r="15" spans="1:73" x14ac:dyDescent="0.25">
      <c r="A15" s="2">
        <v>2008</v>
      </c>
      <c r="B15" s="58">
        <v>2.6923457695151387</v>
      </c>
      <c r="C15" s="58">
        <v>0</v>
      </c>
      <c r="D15" s="58">
        <v>11.095236379311956</v>
      </c>
      <c r="E15" s="58">
        <v>23.445261670156668</v>
      </c>
      <c r="F15" s="58">
        <v>197.67102149655074</v>
      </c>
      <c r="G15" s="58">
        <v>79.903459707480337</v>
      </c>
      <c r="H15" s="58">
        <v>126.2114101080633</v>
      </c>
      <c r="I15" s="58">
        <v>93.49763974359486</v>
      </c>
      <c r="J15" s="58">
        <v>103.44910534470954</v>
      </c>
      <c r="K15" s="58">
        <v>87.997597703404438</v>
      </c>
      <c r="L15" s="58">
        <v>55.101637165129866</v>
      </c>
      <c r="M15" s="58">
        <v>0</v>
      </c>
      <c r="N15" s="59">
        <v>781.06471508791697</v>
      </c>
      <c r="P15" s="47" t="s">
        <v>52</v>
      </c>
      <c r="Q15" s="66">
        <v>13.930833333333334</v>
      </c>
      <c r="R15" s="66">
        <v>9.4655555555555555</v>
      </c>
      <c r="S15" s="66">
        <v>12.079499999999996</v>
      </c>
      <c r="T15" s="48"/>
      <c r="U15" s="66" t="s">
        <v>106</v>
      </c>
      <c r="V15" s="100">
        <v>0.98799999999999999</v>
      </c>
      <c r="W15" s="58">
        <f>23.229-0.0059*W$3</f>
        <v>14.4321</v>
      </c>
      <c r="X15" s="58">
        <f t="shared" ref="X15:Z15" si="10">23.229-0.0059*X$3</f>
        <v>16.196199999999997</v>
      </c>
      <c r="Y15" s="58">
        <f t="shared" si="10"/>
        <v>16.556100000000001</v>
      </c>
      <c r="Z15" s="58">
        <f t="shared" si="10"/>
        <v>12.2255</v>
      </c>
      <c r="AB15" s="2" t="s">
        <v>142</v>
      </c>
      <c r="AC15" s="2">
        <v>12.6</v>
      </c>
      <c r="AD15" s="2">
        <v>32.299999999999997</v>
      </c>
      <c r="AE15" s="2">
        <v>65</v>
      </c>
      <c r="AF15" s="2">
        <v>173</v>
      </c>
      <c r="AG15" s="2">
        <v>11.6</v>
      </c>
      <c r="AH15" s="2">
        <v>23.9</v>
      </c>
      <c r="AI15" s="2">
        <v>5.25</v>
      </c>
      <c r="AJ15" s="2"/>
      <c r="AL15" s="2" t="s">
        <v>142</v>
      </c>
      <c r="AM15" s="2">
        <v>13.2</v>
      </c>
      <c r="AN15" s="2">
        <v>32.9</v>
      </c>
      <c r="AO15" s="2">
        <v>65</v>
      </c>
      <c r="AP15" s="2">
        <v>173</v>
      </c>
      <c r="AQ15" s="2">
        <v>11.6</v>
      </c>
      <c r="AR15" s="2">
        <v>23.9</v>
      </c>
      <c r="AS15" s="116">
        <v>4.5999999999999996</v>
      </c>
      <c r="AT15" s="2"/>
      <c r="AV15" s="2" t="s">
        <v>142</v>
      </c>
      <c r="AW15" s="2">
        <v>6.6</v>
      </c>
      <c r="AX15" s="2">
        <v>26</v>
      </c>
      <c r="AY15" s="2">
        <v>64</v>
      </c>
      <c r="AZ15" s="2">
        <v>173</v>
      </c>
      <c r="BA15" s="2">
        <v>11.5</v>
      </c>
      <c r="BB15" s="2">
        <v>23.6</v>
      </c>
      <c r="BC15" s="2">
        <v>4.5599999999999996</v>
      </c>
    </row>
    <row r="16" spans="1:73" x14ac:dyDescent="0.25">
      <c r="A16" s="2">
        <v>2009</v>
      </c>
      <c r="B16" s="58">
        <v>11.235097941545943</v>
      </c>
      <c r="C16" s="58">
        <v>1.1187335092348285</v>
      </c>
      <c r="D16" s="58">
        <v>13.600745129379355</v>
      </c>
      <c r="E16" s="58">
        <v>67.152698644864685</v>
      </c>
      <c r="F16" s="58">
        <v>71.970972606480032</v>
      </c>
      <c r="G16" s="58">
        <v>60.572421153035428</v>
      </c>
      <c r="H16" s="58">
        <v>124.23717277003283</v>
      </c>
      <c r="I16" s="58">
        <v>72.801013068233786</v>
      </c>
      <c r="J16" s="58">
        <v>73.796284583655805</v>
      </c>
      <c r="K16" s="58">
        <v>126.38947510857665</v>
      </c>
      <c r="L16" s="58">
        <v>41.709826692747988</v>
      </c>
      <c r="M16" s="58">
        <v>9.5368386083965042</v>
      </c>
      <c r="N16" s="59">
        <v>674.1212798161838</v>
      </c>
      <c r="P16" s="47" t="s">
        <v>53</v>
      </c>
      <c r="Q16" s="66">
        <v>16.265806451612907</v>
      </c>
      <c r="R16" s="66">
        <v>8.9572004608294922</v>
      </c>
      <c r="S16" s="66">
        <v>11.572258064516129</v>
      </c>
      <c r="T16" s="48"/>
      <c r="U16" s="66" t="s">
        <v>107</v>
      </c>
      <c r="V16" s="100">
        <v>0.87</v>
      </c>
      <c r="W16" s="58">
        <f>23.229-0.0089*W$3</f>
        <v>9.9590999999999994</v>
      </c>
      <c r="X16" s="58">
        <f t="shared" ref="X16:Z16" si="11">23.229-0.0089*X$3</f>
        <v>12.620199999999999</v>
      </c>
      <c r="Y16" s="58">
        <f t="shared" si="11"/>
        <v>13.1631</v>
      </c>
      <c r="Z16" s="58">
        <f t="shared" si="11"/>
        <v>6.6304999999999978</v>
      </c>
      <c r="AB16" s="2"/>
      <c r="AC16" s="2"/>
      <c r="AD16" s="2"/>
      <c r="AE16" s="2"/>
      <c r="AF16" s="2"/>
      <c r="AG16" s="2"/>
      <c r="AH16" s="2"/>
      <c r="AI16" s="2"/>
      <c r="AJ16" s="2"/>
      <c r="AL16" s="2"/>
      <c r="AM16" s="2"/>
      <c r="AN16" s="2"/>
      <c r="AO16" s="2"/>
      <c r="AP16" s="2"/>
      <c r="AQ16" s="2"/>
      <c r="AR16" s="2"/>
      <c r="AS16" s="2"/>
      <c r="AT16" s="2"/>
      <c r="AV16" s="2"/>
      <c r="AW16" s="2"/>
      <c r="AX16" s="2"/>
      <c r="AY16" s="2"/>
      <c r="AZ16" s="2"/>
      <c r="BA16" s="2"/>
      <c r="BB16" s="2"/>
      <c r="BC16" s="2"/>
    </row>
    <row r="17" spans="1:55" x14ac:dyDescent="0.25">
      <c r="A17" s="2">
        <v>2010</v>
      </c>
      <c r="B17" s="58">
        <v>6.6652400498417501</v>
      </c>
      <c r="C17" s="58">
        <v>28.414748499565587</v>
      </c>
      <c r="D17" s="58">
        <v>106.11153514649691</v>
      </c>
      <c r="E17" s="58">
        <v>102.3657816382165</v>
      </c>
      <c r="F17" s="58">
        <v>115.06055103353641</v>
      </c>
      <c r="G17" s="58">
        <v>24.164853297402981</v>
      </c>
      <c r="H17" s="58">
        <v>104.32888190173476</v>
      </c>
      <c r="I17" s="58">
        <v>114.77248422457482</v>
      </c>
      <c r="J17" s="58">
        <v>159.20187103433361</v>
      </c>
      <c r="K17" s="58">
        <v>10.521930966003499</v>
      </c>
      <c r="L17" s="58">
        <v>12.620064781931527</v>
      </c>
      <c r="M17" s="58">
        <v>0</v>
      </c>
      <c r="N17" s="59">
        <v>784.22794257363842</v>
      </c>
      <c r="P17" s="47"/>
      <c r="Q17" s="66"/>
      <c r="R17" s="66"/>
      <c r="S17" s="66"/>
      <c r="T17" s="48"/>
      <c r="U17" s="48"/>
      <c r="V17" s="2"/>
      <c r="W17" s="2"/>
      <c r="X17" s="101" t="s">
        <v>183</v>
      </c>
      <c r="Y17" s="102">
        <f>MIN(Y5:Y16)</f>
        <v>13.1631</v>
      </c>
      <c r="Z17" s="2"/>
      <c r="AB17" s="2" t="s">
        <v>143</v>
      </c>
      <c r="AC17" s="2">
        <v>17.899999999999999</v>
      </c>
      <c r="AD17" s="2">
        <v>32.9</v>
      </c>
      <c r="AE17" s="2">
        <v>71</v>
      </c>
      <c r="AF17" s="2">
        <v>173</v>
      </c>
      <c r="AG17" s="2">
        <v>9.6</v>
      </c>
      <c r="AH17" s="2">
        <v>23.1</v>
      </c>
      <c r="AI17" s="2">
        <v>5.28</v>
      </c>
      <c r="AJ17" s="2"/>
      <c r="AL17" s="2" t="s">
        <v>143</v>
      </c>
      <c r="AM17" s="2">
        <v>18.3</v>
      </c>
      <c r="AN17" s="2">
        <v>33.4</v>
      </c>
      <c r="AO17" s="2">
        <v>71</v>
      </c>
      <c r="AP17" s="2">
        <v>173</v>
      </c>
      <c r="AQ17" s="2">
        <v>9.6</v>
      </c>
      <c r="AR17" s="2">
        <v>23.1</v>
      </c>
      <c r="AS17" s="2">
        <f>AVERAGE(AS4:AS15)</f>
        <v>4.7416666666666663</v>
      </c>
      <c r="AT17" s="2"/>
      <c r="AV17" s="2" t="s">
        <v>143</v>
      </c>
      <c r="AW17" s="2">
        <v>13.2</v>
      </c>
      <c r="AX17" s="2">
        <v>27.8</v>
      </c>
      <c r="AY17" s="2">
        <v>72</v>
      </c>
      <c r="AZ17" s="2">
        <v>173</v>
      </c>
      <c r="BA17" s="2">
        <v>9.1999999999999993</v>
      </c>
      <c r="BB17" s="2">
        <v>22.4</v>
      </c>
      <c r="BC17" s="2">
        <v>4.6399999999999997</v>
      </c>
    </row>
    <row r="18" spans="1:55" x14ac:dyDescent="0.25">
      <c r="A18" s="2"/>
      <c r="B18" s="59">
        <v>13.400922245376721</v>
      </c>
      <c r="C18" s="59">
        <v>7.6651399820984922</v>
      </c>
      <c r="D18" s="59">
        <v>47.21493422822666</v>
      </c>
      <c r="E18" s="59">
        <v>92.219238054077451</v>
      </c>
      <c r="F18" s="59">
        <v>91.498464347688454</v>
      </c>
      <c r="G18" s="59">
        <v>56.560841715049861</v>
      </c>
      <c r="H18" s="59">
        <v>91.847955381734835</v>
      </c>
      <c r="I18" s="59">
        <v>112.25354177014931</v>
      </c>
      <c r="J18" s="59">
        <v>98.484133598622293</v>
      </c>
      <c r="K18" s="59">
        <v>59.009541749413614</v>
      </c>
      <c r="L18" s="59">
        <v>23.087255687057265</v>
      </c>
      <c r="M18" s="59">
        <v>13.399625886703639</v>
      </c>
      <c r="N18" s="60">
        <v>706.64159464619854</v>
      </c>
      <c r="P18" s="47"/>
      <c r="Q18" s="66"/>
      <c r="R18" s="48"/>
      <c r="S18" s="48"/>
      <c r="T18" s="48"/>
      <c r="U18" s="48"/>
    </row>
    <row r="19" spans="1:55" x14ac:dyDescent="0.25">
      <c r="P19" s="47"/>
      <c r="Q19" s="48" t="s">
        <v>88</v>
      </c>
      <c r="R19" s="48" t="s">
        <v>89</v>
      </c>
      <c r="S19" s="48" t="s">
        <v>90</v>
      </c>
      <c r="T19" s="48"/>
      <c r="U19" s="48"/>
      <c r="AL19" s="68" t="s">
        <v>150</v>
      </c>
    </row>
    <row r="20" spans="1:55" x14ac:dyDescent="0.25">
      <c r="A20" s="61" t="s">
        <v>79</v>
      </c>
      <c r="E20" s="62">
        <v>198</v>
      </c>
      <c r="F20" t="s">
        <v>80</v>
      </c>
      <c r="G20" s="5"/>
      <c r="P20" s="47" t="s">
        <v>42</v>
      </c>
      <c r="Q20" s="66">
        <v>29.079193548387103</v>
      </c>
      <c r="R20" s="66">
        <v>21.648924731182799</v>
      </c>
      <c r="S20" s="66">
        <v>24.790967741935475</v>
      </c>
      <c r="T20" s="48"/>
      <c r="U20" s="66" t="s">
        <v>108</v>
      </c>
      <c r="V20" s="100">
        <v>0.91600000000000004</v>
      </c>
      <c r="W20" s="58">
        <f>43.421-0.0091*W$3</f>
        <v>29.852899999999998</v>
      </c>
      <c r="X20" s="58">
        <f t="shared" ref="X20:Y20" si="12">43.421-0.0091*X$3</f>
        <v>32.573799999999999</v>
      </c>
      <c r="Y20" s="58">
        <f t="shared" si="12"/>
        <v>33.128900000000002</v>
      </c>
      <c r="Z20" s="58">
        <f>43.421-0.0091*Z$3</f>
        <v>26.449499999999997</v>
      </c>
      <c r="AC20" s="1" t="s">
        <v>159</v>
      </c>
      <c r="AD20" s="103">
        <f>AVERAGE(Y5,Y20)</f>
        <v>26.807300000000001</v>
      </c>
      <c r="AL20" s="2" t="s">
        <v>82</v>
      </c>
      <c r="AM20" s="2" t="s">
        <v>119</v>
      </c>
      <c r="AN20" s="2" t="s">
        <v>120</v>
      </c>
      <c r="AO20" s="2" t="s">
        <v>121</v>
      </c>
      <c r="AP20" s="2" t="s">
        <v>122</v>
      </c>
      <c r="AQ20" s="2" t="s">
        <v>123</v>
      </c>
      <c r="AR20" s="2" t="s">
        <v>124</v>
      </c>
      <c r="AS20" s="2" t="s">
        <v>125</v>
      </c>
    </row>
    <row r="21" spans="1:55" s="1" customFormat="1" x14ac:dyDescent="0.25">
      <c r="E21" s="62"/>
      <c r="G21" s="5"/>
      <c r="P21" s="47" t="s">
        <v>43</v>
      </c>
      <c r="Q21" s="66">
        <v>29.042446633825946</v>
      </c>
      <c r="R21" s="66">
        <v>22.364827586206896</v>
      </c>
      <c r="S21" s="66">
        <v>26.745057471264371</v>
      </c>
      <c r="T21" s="48"/>
      <c r="U21" s="66" t="s">
        <v>109</v>
      </c>
      <c r="V21" s="100">
        <v>0.999</v>
      </c>
      <c r="W21" s="58">
        <f>43.388-0.0087*W$3</f>
        <v>30.4163</v>
      </c>
      <c r="X21" s="58">
        <f t="shared" ref="X21:Z21" si="13">43.388-0.0087*X$3</f>
        <v>33.017600000000002</v>
      </c>
      <c r="Y21" s="58">
        <f t="shared" si="13"/>
        <v>33.548299999999998</v>
      </c>
      <c r="Z21" s="58">
        <f t="shared" si="13"/>
        <v>27.162499999999998</v>
      </c>
      <c r="AD21" s="103">
        <f t="shared" ref="AD21:AD31" si="14">AVERAGE(Y6,Y21)</f>
        <v>26.729149999999997</v>
      </c>
      <c r="AL21" s="2"/>
      <c r="AM21" s="2" t="s">
        <v>126</v>
      </c>
      <c r="AN21" s="2" t="s">
        <v>126</v>
      </c>
      <c r="AO21" s="2" t="s">
        <v>127</v>
      </c>
      <c r="AP21" s="2" t="s">
        <v>128</v>
      </c>
      <c r="AQ21" s="2" t="s">
        <v>129</v>
      </c>
      <c r="AR21" s="2" t="s">
        <v>144</v>
      </c>
      <c r="AS21" s="2" t="s">
        <v>131</v>
      </c>
    </row>
    <row r="22" spans="1:55" x14ac:dyDescent="0.25">
      <c r="A22" s="61" t="s">
        <v>81</v>
      </c>
      <c r="P22" s="47" t="s">
        <v>44</v>
      </c>
      <c r="Q22" s="66">
        <v>28.804723502304149</v>
      </c>
      <c r="R22" s="66">
        <v>22.228202764976949</v>
      </c>
      <c r="S22" s="66">
        <v>26.790552995391703</v>
      </c>
      <c r="T22" s="48"/>
      <c r="U22" s="66" t="s">
        <v>110</v>
      </c>
      <c r="V22" s="100">
        <v>0.999</v>
      </c>
      <c r="W22" s="58">
        <f>43.166-0.0086*W$3</f>
        <v>30.343399999999995</v>
      </c>
      <c r="X22" s="58">
        <f t="shared" ref="X22:Z22" si="15">43.166-0.0086*X$3</f>
        <v>32.9148</v>
      </c>
      <c r="Y22" s="58">
        <f t="shared" si="15"/>
        <v>33.439399999999999</v>
      </c>
      <c r="Z22" s="58">
        <f t="shared" si="15"/>
        <v>27.126999999999995</v>
      </c>
      <c r="AD22" s="103">
        <f t="shared" si="14"/>
        <v>27.1462</v>
      </c>
      <c r="AL22" s="2" t="s">
        <v>132</v>
      </c>
      <c r="AM22" s="2">
        <v>20.5</v>
      </c>
      <c r="AN22" s="2">
        <v>33.1</v>
      </c>
      <c r="AO22" s="2">
        <v>74</v>
      </c>
      <c r="AP22" s="2">
        <v>173</v>
      </c>
      <c r="AQ22" s="2">
        <v>8.1</v>
      </c>
      <c r="AR22" s="2">
        <v>19.600000000000001</v>
      </c>
      <c r="AS22" s="2">
        <v>4.53</v>
      </c>
    </row>
    <row r="23" spans="1:55" x14ac:dyDescent="0.25">
      <c r="A23" s="2" t="s">
        <v>82</v>
      </c>
      <c r="B23" s="2">
        <v>1</v>
      </c>
      <c r="C23" s="2">
        <v>2</v>
      </c>
      <c r="D23" s="2">
        <v>3</v>
      </c>
      <c r="E23" s="2">
        <v>4</v>
      </c>
      <c r="F23" s="2">
        <v>5</v>
      </c>
      <c r="G23" s="2">
        <v>6</v>
      </c>
      <c r="H23" s="2">
        <v>7</v>
      </c>
      <c r="I23" s="2">
        <v>8</v>
      </c>
      <c r="J23" s="2">
        <v>9</v>
      </c>
      <c r="K23" s="2">
        <v>10</v>
      </c>
      <c r="L23" s="2">
        <v>11</v>
      </c>
      <c r="M23" s="2">
        <v>12</v>
      </c>
      <c r="N23" s="57" t="s">
        <v>76</v>
      </c>
      <c r="P23" s="47" t="s">
        <v>45</v>
      </c>
      <c r="Q23" s="66">
        <v>28.554166666666667</v>
      </c>
      <c r="R23" s="66">
        <v>21.714761904761907</v>
      </c>
      <c r="S23" s="66">
        <v>26.183412698412706</v>
      </c>
      <c r="T23" s="48"/>
      <c r="U23" s="66" t="s">
        <v>108</v>
      </c>
      <c r="V23" s="100">
        <v>0.999</v>
      </c>
      <c r="W23" s="58">
        <f>43.421-0.0091*W$3</f>
        <v>29.852899999999998</v>
      </c>
      <c r="X23" s="58">
        <f t="shared" ref="X23:Z23" si="16">43.421-0.0091*X$3</f>
        <v>32.573799999999999</v>
      </c>
      <c r="Y23" s="58">
        <f t="shared" si="16"/>
        <v>33.128900000000002</v>
      </c>
      <c r="Z23" s="58">
        <f t="shared" si="16"/>
        <v>26.449499999999997</v>
      </c>
      <c r="AD23" s="103">
        <f t="shared" si="14"/>
        <v>26.653350000000003</v>
      </c>
      <c r="AL23" s="2" t="s">
        <v>133</v>
      </c>
      <c r="AM23" s="2">
        <v>19.899999999999999</v>
      </c>
      <c r="AN23" s="2">
        <v>33.5</v>
      </c>
      <c r="AO23" s="2">
        <v>72</v>
      </c>
      <c r="AP23" s="2">
        <v>173</v>
      </c>
      <c r="AQ23" s="2">
        <v>8.8000000000000007</v>
      </c>
      <c r="AR23" s="2">
        <v>21.8</v>
      </c>
      <c r="AS23" s="2">
        <v>5.08</v>
      </c>
    </row>
    <row r="24" spans="1:55" x14ac:dyDescent="0.25">
      <c r="A24" s="64" t="s">
        <v>83</v>
      </c>
      <c r="B24" s="63">
        <v>23.280627429530075</v>
      </c>
      <c r="C24" s="63">
        <v>10.290681125148804</v>
      </c>
      <c r="D24" s="63">
        <v>79.711139113220852</v>
      </c>
      <c r="E24" s="63">
        <v>119.93303602423762</v>
      </c>
      <c r="F24" s="63">
        <v>114.22464707964984</v>
      </c>
      <c r="G24" s="63">
        <v>77.598202007806805</v>
      </c>
      <c r="H24" s="63">
        <v>158.63560257828132</v>
      </c>
      <c r="I24" s="63">
        <v>196.28390071167422</v>
      </c>
      <c r="J24" s="63">
        <v>150.90547284039729</v>
      </c>
      <c r="K24" s="63">
        <v>76.3719589730309</v>
      </c>
      <c r="L24" s="63">
        <v>28.6587229685084</v>
      </c>
      <c r="M24" s="63">
        <v>24.564190630239672</v>
      </c>
      <c r="N24" s="63">
        <f>SUM(B24:M24)</f>
        <v>1060.4581814817259</v>
      </c>
      <c r="P24" s="47" t="s">
        <v>46</v>
      </c>
      <c r="Q24" s="66">
        <v>27.148847926267283</v>
      </c>
      <c r="R24" s="66">
        <v>21.695084485407065</v>
      </c>
      <c r="S24" s="66">
        <v>25.846466973886326</v>
      </c>
      <c r="T24" s="48"/>
      <c r="U24" s="66" t="s">
        <v>111</v>
      </c>
      <c r="V24" s="100">
        <v>0.99199999999999999</v>
      </c>
      <c r="W24" s="58">
        <f>43.421-0.0093*W$3</f>
        <v>29.5547</v>
      </c>
      <c r="X24" s="58">
        <f t="shared" ref="X24:Z24" si="17">43.421-0.0093*X$3</f>
        <v>32.3354</v>
      </c>
      <c r="Y24" s="58">
        <f t="shared" si="17"/>
        <v>32.902699999999996</v>
      </c>
      <c r="Z24" s="58">
        <f t="shared" si="17"/>
        <v>26.076499999999999</v>
      </c>
      <c r="AD24" s="103">
        <f t="shared" si="14"/>
        <v>26.278399999999998</v>
      </c>
      <c r="AL24" s="2" t="s">
        <v>134</v>
      </c>
      <c r="AM24" s="2">
        <v>20.9</v>
      </c>
      <c r="AN24" s="2">
        <v>33.4</v>
      </c>
      <c r="AO24" s="2">
        <v>74</v>
      </c>
      <c r="AP24" s="2">
        <v>173</v>
      </c>
      <c r="AQ24" s="2">
        <v>8.3000000000000007</v>
      </c>
      <c r="AR24" s="2">
        <v>22.1</v>
      </c>
      <c r="AS24" s="2">
        <v>5.19</v>
      </c>
    </row>
    <row r="25" spans="1:55" x14ac:dyDescent="0.25">
      <c r="P25" s="47" t="s">
        <v>47</v>
      </c>
      <c r="Q25" s="66">
        <v>26.589999999999993</v>
      </c>
      <c r="R25" s="66">
        <v>21.201269841269845</v>
      </c>
      <c r="S25" s="66">
        <v>24.842777777777776</v>
      </c>
      <c r="T25" s="48"/>
      <c r="U25" s="66" t="s">
        <v>112</v>
      </c>
      <c r="V25" s="100">
        <v>1</v>
      </c>
      <c r="W25" s="58">
        <f>38.267-0.007*W$3</f>
        <v>27.830000000000005</v>
      </c>
      <c r="X25" s="58">
        <f t="shared" ref="X25:Z25" si="18">38.267-0.007*X$3</f>
        <v>29.923000000000002</v>
      </c>
      <c r="Y25" s="58">
        <f t="shared" si="18"/>
        <v>30.35</v>
      </c>
      <c r="Z25" s="58">
        <f t="shared" si="18"/>
        <v>25.212000000000003</v>
      </c>
      <c r="AD25" s="103">
        <f t="shared" si="14"/>
        <v>24.235100000000003</v>
      </c>
      <c r="AL25" s="2" t="s">
        <v>135</v>
      </c>
      <c r="AM25" s="2">
        <v>20.2</v>
      </c>
      <c r="AN25" s="2">
        <v>33.1</v>
      </c>
      <c r="AO25" s="2">
        <v>73</v>
      </c>
      <c r="AP25" s="2">
        <v>173</v>
      </c>
      <c r="AQ25" s="2">
        <v>8.6999999999999993</v>
      </c>
      <c r="AR25" s="2">
        <v>22.9</v>
      </c>
      <c r="AS25" s="2">
        <v>5.33</v>
      </c>
    </row>
    <row r="26" spans="1:55" x14ac:dyDescent="0.25">
      <c r="P26" s="47" t="s">
        <v>48</v>
      </c>
      <c r="Q26" s="66">
        <v>26.200000000000003</v>
      </c>
      <c r="R26" s="66">
        <v>21.064919354838704</v>
      </c>
      <c r="S26" s="66">
        <v>23.87161290322581</v>
      </c>
      <c r="T26" s="48"/>
      <c r="U26" s="66" t="s">
        <v>113</v>
      </c>
      <c r="V26" s="100">
        <v>0.97699999999999998</v>
      </c>
      <c r="W26" s="58">
        <f>36.706-0.0065*W$3</f>
        <v>27.014500000000005</v>
      </c>
      <c r="X26" s="58">
        <f t="shared" ref="X26:Z26" si="19">36.706-0.0065*X$3</f>
        <v>28.958000000000006</v>
      </c>
      <c r="Y26" s="58">
        <f t="shared" si="19"/>
        <v>29.354500000000002</v>
      </c>
      <c r="Z26" s="58">
        <f t="shared" si="19"/>
        <v>24.583500000000004</v>
      </c>
      <c r="AD26" s="103">
        <f t="shared" si="14"/>
        <v>23.75675</v>
      </c>
      <c r="AL26" s="2" t="s">
        <v>46</v>
      </c>
      <c r="AM26" s="2">
        <v>19.600000000000001</v>
      </c>
      <c r="AN26" s="2">
        <v>32.9</v>
      </c>
      <c r="AO26" s="2">
        <v>73</v>
      </c>
      <c r="AP26" s="2">
        <v>173</v>
      </c>
      <c r="AQ26" s="2">
        <v>9.1</v>
      </c>
      <c r="AR26" s="2">
        <v>23</v>
      </c>
      <c r="AS26" s="2">
        <v>5.33</v>
      </c>
    </row>
    <row r="27" spans="1:55" x14ac:dyDescent="0.25">
      <c r="P27" s="47" t="s">
        <v>49</v>
      </c>
      <c r="Q27" s="66">
        <v>27.767665130568364</v>
      </c>
      <c r="R27" s="66">
        <v>21.20564516129032</v>
      </c>
      <c r="S27" s="66">
        <v>23.952903225806448</v>
      </c>
      <c r="T27" s="48"/>
      <c r="U27" s="66" t="s">
        <v>114</v>
      </c>
      <c r="V27" s="100">
        <v>0.91300000000000003</v>
      </c>
      <c r="W27" s="58">
        <f>40.408-0.0081*W$3</f>
        <v>28.3309</v>
      </c>
      <c r="X27" s="58">
        <f t="shared" ref="X27:Z27" si="20">40.408-0.0081*X$3</f>
        <v>30.752800000000001</v>
      </c>
      <c r="Y27" s="58">
        <f t="shared" si="20"/>
        <v>31.246900000000004</v>
      </c>
      <c r="Z27" s="58">
        <f t="shared" si="20"/>
        <v>25.301500000000004</v>
      </c>
      <c r="AD27" s="103">
        <f t="shared" si="14"/>
        <v>24.763400000000001</v>
      </c>
      <c r="AL27" s="2" t="s">
        <v>136</v>
      </c>
      <c r="AM27" s="2">
        <v>18.100000000000001</v>
      </c>
      <c r="AN27" s="2">
        <v>30.4</v>
      </c>
      <c r="AO27" s="2">
        <v>74</v>
      </c>
      <c r="AP27" s="2">
        <v>173</v>
      </c>
      <c r="AQ27" s="2">
        <v>8.6</v>
      </c>
      <c r="AR27" s="2">
        <v>21.8</v>
      </c>
      <c r="AS27" s="2">
        <v>4.8099999999999996</v>
      </c>
    </row>
    <row r="28" spans="1:55" x14ac:dyDescent="0.25">
      <c r="P28" s="47" t="s">
        <v>50</v>
      </c>
      <c r="Q28" s="66">
        <v>26.589047619047616</v>
      </c>
      <c r="R28" s="66">
        <v>21.394285714285715</v>
      </c>
      <c r="S28" s="66">
        <v>24.428666666666668</v>
      </c>
      <c r="T28" s="48"/>
      <c r="U28" s="66" t="s">
        <v>115</v>
      </c>
      <c r="V28" s="100">
        <v>0.98799999999999999</v>
      </c>
      <c r="W28" s="58">
        <f>37.4-0.0066*W$3</f>
        <v>27.559399999999997</v>
      </c>
      <c r="X28" s="58">
        <f t="shared" ref="X28:Z28" si="21">37.4-0.0066*X$3</f>
        <v>29.532799999999998</v>
      </c>
      <c r="Y28" s="58">
        <f t="shared" si="21"/>
        <v>29.935399999999998</v>
      </c>
      <c r="Z28" s="58">
        <f t="shared" si="21"/>
        <v>25.091000000000001</v>
      </c>
      <c r="AD28" s="103">
        <f t="shared" si="14"/>
        <v>23.696599999999997</v>
      </c>
      <c r="AL28" s="2" t="s">
        <v>137</v>
      </c>
      <c r="AM28" s="2">
        <v>18.2</v>
      </c>
      <c r="AN28" s="2">
        <v>29.4</v>
      </c>
      <c r="AO28" s="2">
        <v>76</v>
      </c>
      <c r="AP28" s="2">
        <v>173</v>
      </c>
      <c r="AQ28" s="2">
        <v>8</v>
      </c>
      <c r="AR28" s="2">
        <v>20.9</v>
      </c>
      <c r="AS28" s="2">
        <v>4.5</v>
      </c>
      <c r="BC28" s="1" t="s">
        <v>0</v>
      </c>
    </row>
    <row r="29" spans="1:55" x14ac:dyDescent="0.25">
      <c r="P29" s="47" t="s">
        <v>51</v>
      </c>
      <c r="Q29" s="66">
        <v>28.22611367127497</v>
      </c>
      <c r="R29" s="66">
        <v>21.300403225806448</v>
      </c>
      <c r="S29" s="66">
        <v>25.042580645161287</v>
      </c>
      <c r="T29" s="48"/>
      <c r="U29" s="66" t="s">
        <v>116</v>
      </c>
      <c r="V29" s="100">
        <v>0.97499999999999998</v>
      </c>
      <c r="W29" s="58">
        <f>42.356-0.0088*W$3</f>
        <v>29.235199999999999</v>
      </c>
      <c r="X29" s="58">
        <f t="shared" ref="X29:Z29" si="22">42.356-0.0088*X$3</f>
        <v>31.866399999999999</v>
      </c>
      <c r="Y29" s="58">
        <f t="shared" si="22"/>
        <v>32.403199999999998</v>
      </c>
      <c r="Z29" s="58">
        <f t="shared" si="22"/>
        <v>25.943999999999999</v>
      </c>
      <c r="AD29" s="103">
        <f t="shared" si="14"/>
        <v>24.592749999999999</v>
      </c>
      <c r="AL29" s="2" t="s">
        <v>138</v>
      </c>
      <c r="AM29" s="2">
        <v>18.3</v>
      </c>
      <c r="AN29" s="2">
        <v>31.3</v>
      </c>
      <c r="AO29" s="2">
        <v>73</v>
      </c>
      <c r="AP29" s="2">
        <v>173</v>
      </c>
      <c r="AQ29" s="2">
        <v>9</v>
      </c>
      <c r="AR29" s="2">
        <v>23</v>
      </c>
      <c r="AS29" s="2">
        <v>5.09</v>
      </c>
    </row>
    <row r="30" spans="1:55" x14ac:dyDescent="0.25">
      <c r="P30" s="47" t="s">
        <v>52</v>
      </c>
      <c r="Q30" s="66">
        <v>31.206666666666653</v>
      </c>
      <c r="R30" s="66">
        <v>21.287083333333328</v>
      </c>
      <c r="S30" s="66">
        <v>25.113499999999998</v>
      </c>
      <c r="T30" s="48"/>
      <c r="U30" s="66" t="s">
        <v>117</v>
      </c>
      <c r="V30" s="100">
        <v>0.89100000000000001</v>
      </c>
      <c r="W30" s="58">
        <f>50.009-0.00121*W$3</f>
        <v>48.204889999999999</v>
      </c>
      <c r="X30" s="58">
        <v>32.85</v>
      </c>
      <c r="Y30" s="58">
        <v>33.5</v>
      </c>
      <c r="Z30" s="58">
        <v>26.33</v>
      </c>
      <c r="AD30" s="103">
        <f t="shared" si="14"/>
        <v>25.02805</v>
      </c>
      <c r="AL30" s="2" t="s">
        <v>139</v>
      </c>
      <c r="AM30" s="2">
        <v>17.5</v>
      </c>
      <c r="AN30" s="2">
        <v>29.9</v>
      </c>
      <c r="AO30" s="2">
        <v>74</v>
      </c>
      <c r="AP30" s="2">
        <v>173</v>
      </c>
      <c r="AQ30" s="2">
        <v>8.5</v>
      </c>
      <c r="AR30" s="2">
        <v>22.3</v>
      </c>
      <c r="AS30" s="2">
        <v>4.8099999999999996</v>
      </c>
    </row>
    <row r="31" spans="1:55" x14ac:dyDescent="0.25">
      <c r="P31" s="50" t="s">
        <v>53</v>
      </c>
      <c r="Q31" s="67">
        <v>28.914354838709677</v>
      </c>
      <c r="R31" s="67">
        <v>21.346543778801838</v>
      </c>
      <c r="S31" s="67">
        <v>24.379354838709681</v>
      </c>
      <c r="T31" s="51"/>
      <c r="U31" s="67" t="s">
        <v>118</v>
      </c>
      <c r="V31" s="100">
        <v>0.90100000000000002</v>
      </c>
      <c r="W31" s="58">
        <f>43.365-0.0093*W$3</f>
        <v>29.498700000000003</v>
      </c>
      <c r="X31" s="58">
        <f t="shared" ref="X31:Z31" si="23">43.365-0.0093*X$3</f>
        <v>32.279400000000003</v>
      </c>
      <c r="Y31" s="58">
        <f t="shared" si="23"/>
        <v>32.846699999999998</v>
      </c>
      <c r="Z31" s="58">
        <f t="shared" si="23"/>
        <v>26.020500000000002</v>
      </c>
      <c r="AD31" s="103">
        <f t="shared" si="14"/>
        <v>23.004899999999999</v>
      </c>
      <c r="AL31" s="2" t="s">
        <v>140</v>
      </c>
      <c r="AM31" s="2">
        <v>16.8</v>
      </c>
      <c r="AN31" s="2">
        <v>32.4</v>
      </c>
      <c r="AO31" s="2">
        <v>70</v>
      </c>
      <c r="AP31" s="2">
        <v>173</v>
      </c>
      <c r="AQ31" s="2">
        <v>10</v>
      </c>
      <c r="AR31" s="2">
        <v>23.8</v>
      </c>
      <c r="AS31" s="2">
        <v>5.27</v>
      </c>
    </row>
    <row r="32" spans="1:55" x14ac:dyDescent="0.25">
      <c r="V32" s="2"/>
      <c r="W32" s="2"/>
      <c r="X32" s="101" t="s">
        <v>184</v>
      </c>
      <c r="Y32" s="102">
        <f>MAX(Y20:Y31)</f>
        <v>33.548299999999998</v>
      </c>
      <c r="Z32" s="2"/>
      <c r="AL32" s="2" t="s">
        <v>141</v>
      </c>
      <c r="AM32" s="2">
        <v>16.600000000000001</v>
      </c>
      <c r="AN32" s="2">
        <v>33.5</v>
      </c>
      <c r="AO32" s="2">
        <v>68</v>
      </c>
      <c r="AP32" s="2">
        <v>173</v>
      </c>
      <c r="AQ32" s="2">
        <v>10.5</v>
      </c>
      <c r="AR32" s="2">
        <v>23.1</v>
      </c>
      <c r="AS32" s="2">
        <v>5.26</v>
      </c>
    </row>
    <row r="33" spans="38:45" x14ac:dyDescent="0.25">
      <c r="AL33" s="2" t="s">
        <v>142</v>
      </c>
      <c r="AM33" s="2">
        <v>13.2</v>
      </c>
      <c r="AN33" s="2">
        <v>32.9</v>
      </c>
      <c r="AO33" s="2">
        <v>65</v>
      </c>
      <c r="AP33" s="2">
        <v>173</v>
      </c>
      <c r="AQ33" s="2">
        <v>11.6</v>
      </c>
      <c r="AR33" s="2">
        <v>23.9</v>
      </c>
      <c r="AS33" s="2">
        <v>5.19</v>
      </c>
    </row>
    <row r="34" spans="38:45" x14ac:dyDescent="0.25">
      <c r="AL34" s="2"/>
      <c r="AM34" s="2"/>
      <c r="AN34" s="2"/>
      <c r="AO34" s="2"/>
      <c r="AP34" s="2"/>
      <c r="AQ34" s="2"/>
      <c r="AR34" s="2"/>
      <c r="AS34" s="2"/>
    </row>
    <row r="35" spans="38:45" x14ac:dyDescent="0.25">
      <c r="AL35" s="2" t="s">
        <v>143</v>
      </c>
      <c r="AM35" s="2">
        <v>18.3</v>
      </c>
      <c r="AN35" s="2">
        <v>32.1</v>
      </c>
      <c r="AO35" s="2">
        <v>72</v>
      </c>
      <c r="AP35" s="2">
        <v>173</v>
      </c>
      <c r="AQ35" s="2">
        <v>9.1</v>
      </c>
      <c r="AR35" s="2">
        <v>22.4</v>
      </c>
      <c r="AS35" s="2">
        <v>5.03</v>
      </c>
    </row>
  </sheetData>
  <mergeCells count="3">
    <mergeCell ref="AB1:AI1"/>
    <mergeCell ref="AL1:AS1"/>
    <mergeCell ref="AV1:B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workbookViewId="0">
      <selection activeCell="B24" sqref="B24"/>
    </sheetView>
  </sheetViews>
  <sheetFormatPr defaultRowHeight="12.75" x14ac:dyDescent="0.2"/>
  <cols>
    <col min="1" max="1" width="4.7109375" style="6" customWidth="1"/>
    <col min="2" max="2" width="18" style="6" customWidth="1"/>
    <col min="3" max="14" width="5.7109375" style="6" customWidth="1"/>
    <col min="15" max="15" width="8.5703125" style="6" bestFit="1" customWidth="1"/>
    <col min="16" max="16" width="3.85546875" style="6" customWidth="1"/>
    <col min="17" max="17" width="3.85546875" style="6" bestFit="1" customWidth="1"/>
    <col min="18" max="18" width="4.42578125" style="6" bestFit="1" customWidth="1"/>
    <col min="19" max="19" width="4.5703125" style="6" bestFit="1" customWidth="1"/>
    <col min="20" max="20" width="4.42578125" style="6" bestFit="1" customWidth="1"/>
    <col min="21" max="21" width="20.140625" style="6" bestFit="1" customWidth="1"/>
    <col min="22" max="22" width="6.5703125" style="6" bestFit="1" customWidth="1"/>
    <col min="23" max="25" width="6" style="6" bestFit="1" customWidth="1"/>
    <col min="26" max="26" width="5" style="6" bestFit="1" customWidth="1"/>
    <col min="27" max="27" width="6" style="6" bestFit="1" customWidth="1"/>
    <col min="28" max="28" width="4.7109375" style="6" bestFit="1" customWidth="1"/>
    <col min="29" max="29" width="7" style="6" bestFit="1" customWidth="1"/>
    <col min="30" max="30" width="5" style="6" bestFit="1" customWidth="1"/>
    <col min="31" max="33" width="6" style="6" bestFit="1" customWidth="1"/>
    <col min="34" max="16384" width="9.140625" style="6"/>
  </cols>
  <sheetData>
    <row r="1" spans="1:38" x14ac:dyDescent="0.2">
      <c r="A1" s="6" t="s">
        <v>155</v>
      </c>
    </row>
    <row r="2" spans="1:38" x14ac:dyDescent="0.2">
      <c r="A2" s="53" t="s">
        <v>66</v>
      </c>
      <c r="B2" s="53" t="s">
        <v>147</v>
      </c>
      <c r="C2" s="53" t="s">
        <v>42</v>
      </c>
      <c r="D2" s="53" t="s">
        <v>43</v>
      </c>
      <c r="E2" s="53" t="s">
        <v>44</v>
      </c>
      <c r="F2" s="53" t="s">
        <v>45</v>
      </c>
      <c r="G2" s="53" t="s">
        <v>46</v>
      </c>
      <c r="H2" s="53" t="s">
        <v>47</v>
      </c>
      <c r="I2" s="53" t="s">
        <v>48</v>
      </c>
      <c r="J2" s="53" t="s">
        <v>49</v>
      </c>
      <c r="K2" s="53" t="s">
        <v>50</v>
      </c>
      <c r="L2" s="53" t="s">
        <v>51</v>
      </c>
      <c r="M2" s="53" t="s">
        <v>52</v>
      </c>
      <c r="N2" s="53" t="s">
        <v>53</v>
      </c>
      <c r="O2" s="53" t="s">
        <v>67</v>
      </c>
      <c r="U2" s="104" t="s">
        <v>1</v>
      </c>
      <c r="V2" s="104" t="s">
        <v>42</v>
      </c>
      <c r="W2" s="104" t="s">
        <v>43</v>
      </c>
      <c r="X2" s="104" t="s">
        <v>44</v>
      </c>
      <c r="Y2" s="104" t="s">
        <v>45</v>
      </c>
      <c r="Z2" s="104" t="s">
        <v>46</v>
      </c>
      <c r="AA2" s="104" t="s">
        <v>47</v>
      </c>
      <c r="AB2" s="104" t="s">
        <v>48</v>
      </c>
      <c r="AC2" s="104" t="s">
        <v>49</v>
      </c>
      <c r="AD2" s="104" t="s">
        <v>50</v>
      </c>
      <c r="AE2" s="104" t="s">
        <v>51</v>
      </c>
      <c r="AF2" s="104" t="s">
        <v>52</v>
      </c>
      <c r="AG2" s="104" t="s">
        <v>53</v>
      </c>
      <c r="AI2" s="42"/>
      <c r="AJ2" s="42" t="s">
        <v>178</v>
      </c>
      <c r="AK2" s="42" t="s">
        <v>179</v>
      </c>
      <c r="AL2" s="42"/>
    </row>
    <row r="3" spans="1:38" x14ac:dyDescent="0.2">
      <c r="A3" s="42">
        <v>1</v>
      </c>
      <c r="B3" s="69" t="s">
        <v>68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42"/>
      <c r="U3" s="42" t="s">
        <v>166</v>
      </c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I3" s="42"/>
      <c r="AJ3" s="42" t="s">
        <v>180</v>
      </c>
      <c r="AK3" s="42" t="s">
        <v>180</v>
      </c>
      <c r="AL3" s="42"/>
    </row>
    <row r="4" spans="1:38" x14ac:dyDescent="0.2">
      <c r="A4" s="42">
        <v>1.1000000000000001</v>
      </c>
      <c r="B4" s="69" t="s">
        <v>69</v>
      </c>
      <c r="C4" s="75">
        <v>152.4</v>
      </c>
      <c r="D4" s="75">
        <v>161.5</v>
      </c>
      <c r="E4" s="75">
        <v>84.3</v>
      </c>
      <c r="F4" s="75">
        <v>6.8</v>
      </c>
      <c r="G4" s="75">
        <v>5.3</v>
      </c>
      <c r="H4" s="75">
        <v>25.3</v>
      </c>
      <c r="I4" s="75">
        <v>81.2</v>
      </c>
      <c r="J4" s="75">
        <v>113.7</v>
      </c>
      <c r="K4" s="75">
        <v>58.6</v>
      </c>
      <c r="L4" s="75">
        <v>10.7</v>
      </c>
      <c r="M4" s="75">
        <v>27</v>
      </c>
      <c r="N4" s="75">
        <v>86.9</v>
      </c>
      <c r="O4" s="54">
        <f>SUM(C4:N4)</f>
        <v>813.70000000000016</v>
      </c>
      <c r="U4" s="42" t="s">
        <v>167</v>
      </c>
      <c r="V4" s="42">
        <v>151.69999999999999</v>
      </c>
      <c r="W4" s="42">
        <v>167.8</v>
      </c>
      <c r="X4" s="42">
        <v>93.5</v>
      </c>
      <c r="Y4" s="42">
        <v>0</v>
      </c>
      <c r="Z4" s="42">
        <v>0</v>
      </c>
      <c r="AA4" s="42">
        <v>0</v>
      </c>
      <c r="AB4" s="42">
        <v>0</v>
      </c>
      <c r="AC4" s="42">
        <v>0</v>
      </c>
      <c r="AD4" s="42">
        <v>0</v>
      </c>
      <c r="AE4" s="42">
        <v>0</v>
      </c>
      <c r="AF4" s="42">
        <v>9.3000000000000007</v>
      </c>
      <c r="AG4" s="42">
        <v>67</v>
      </c>
      <c r="AI4" s="42" t="s">
        <v>132</v>
      </c>
      <c r="AJ4" s="42">
        <v>13.4</v>
      </c>
      <c r="AK4" s="42">
        <v>0</v>
      </c>
      <c r="AL4" s="42"/>
    </row>
    <row r="5" spans="1:38" x14ac:dyDescent="0.2">
      <c r="A5" s="42">
        <v>1.2</v>
      </c>
      <c r="B5" s="69" t="s">
        <v>70</v>
      </c>
      <c r="C5" s="38">
        <f t="shared" ref="C5:N5" si="0">C4/C$24</f>
        <v>4.9161290322580644</v>
      </c>
      <c r="D5" s="38">
        <f t="shared" si="0"/>
        <v>5.7678571428571432</v>
      </c>
      <c r="E5" s="38">
        <f t="shared" si="0"/>
        <v>2.7193548387096773</v>
      </c>
      <c r="F5" s="38">
        <f t="shared" si="0"/>
        <v>0.22666666666666666</v>
      </c>
      <c r="G5" s="38">
        <f t="shared" si="0"/>
        <v>0.17096774193548386</v>
      </c>
      <c r="H5" s="38">
        <f t="shared" si="0"/>
        <v>0.84333333333333338</v>
      </c>
      <c r="I5" s="38">
        <f t="shared" si="0"/>
        <v>2.6193548387096777</v>
      </c>
      <c r="J5" s="38">
        <f t="shared" si="0"/>
        <v>3.6677419354838712</v>
      </c>
      <c r="K5" s="38">
        <f t="shared" si="0"/>
        <v>1.9533333333333334</v>
      </c>
      <c r="L5" s="38">
        <f t="shared" si="0"/>
        <v>0.34516129032258064</v>
      </c>
      <c r="M5" s="38">
        <f t="shared" si="0"/>
        <v>0.9</v>
      </c>
      <c r="N5" s="38">
        <f t="shared" si="0"/>
        <v>2.8032258064516129</v>
      </c>
      <c r="O5" s="42"/>
      <c r="U5" s="42" t="s">
        <v>168</v>
      </c>
      <c r="V5" s="42">
        <v>130.1</v>
      </c>
      <c r="W5" s="42">
        <v>127.4</v>
      </c>
      <c r="X5" s="42">
        <v>126.4</v>
      </c>
      <c r="Y5" s="42">
        <v>88.8</v>
      </c>
      <c r="Z5" s="42">
        <v>97.8</v>
      </c>
      <c r="AA5" s="42">
        <v>106.7</v>
      </c>
      <c r="AB5" s="42">
        <v>80.2</v>
      </c>
      <c r="AC5" s="42">
        <v>75.7</v>
      </c>
      <c r="AD5" s="42">
        <v>79.900000000000006</v>
      </c>
      <c r="AE5" s="42">
        <v>123.2</v>
      </c>
      <c r="AF5" s="42">
        <v>140.9</v>
      </c>
      <c r="AG5" s="42">
        <v>145.6</v>
      </c>
      <c r="AI5" s="42" t="s">
        <v>133</v>
      </c>
      <c r="AJ5" s="42">
        <v>7.7</v>
      </c>
      <c r="AK5" s="42">
        <v>0</v>
      </c>
      <c r="AL5" s="42"/>
    </row>
    <row r="6" spans="1:38" x14ac:dyDescent="0.2">
      <c r="A6" s="71"/>
      <c r="U6" s="42" t="s">
        <v>169</v>
      </c>
      <c r="V6" s="42">
        <v>137.69999999999999</v>
      </c>
      <c r="W6" s="42">
        <v>150.19999999999999</v>
      </c>
      <c r="X6" s="42">
        <v>157.19999999999999</v>
      </c>
      <c r="Y6" s="42">
        <v>118.6</v>
      </c>
      <c r="Z6" s="42">
        <v>18.100000000000001</v>
      </c>
      <c r="AA6" s="42">
        <v>35.299999999999997</v>
      </c>
      <c r="AB6" s="42">
        <v>22</v>
      </c>
      <c r="AC6" s="42">
        <v>11.6</v>
      </c>
      <c r="AD6" s="42">
        <v>23.5</v>
      </c>
      <c r="AE6" s="42">
        <v>78.099999999999994</v>
      </c>
      <c r="AF6" s="42">
        <v>114.1</v>
      </c>
      <c r="AG6" s="42">
        <v>135.9</v>
      </c>
      <c r="AI6" s="42" t="s">
        <v>134</v>
      </c>
      <c r="AJ6" s="42">
        <v>47.2</v>
      </c>
      <c r="AK6" s="42">
        <v>18.3</v>
      </c>
      <c r="AL6" s="42"/>
    </row>
    <row r="7" spans="1:38" x14ac:dyDescent="0.2">
      <c r="B7" s="71"/>
      <c r="U7" s="42" t="s">
        <v>170</v>
      </c>
      <c r="V7" s="42">
        <v>162.80000000000001</v>
      </c>
      <c r="W7" s="42">
        <v>147.5</v>
      </c>
      <c r="X7" s="42">
        <v>35.700000000000003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0</v>
      </c>
      <c r="AF7" s="42">
        <v>67.8</v>
      </c>
      <c r="AG7" s="42">
        <v>162.19999999999999</v>
      </c>
      <c r="AI7" s="42" t="s">
        <v>135</v>
      </c>
      <c r="AJ7" s="42">
        <v>92.2</v>
      </c>
      <c r="AK7" s="42">
        <v>49.8</v>
      </c>
      <c r="AL7" s="42"/>
    </row>
    <row r="8" spans="1:38" x14ac:dyDescent="0.2">
      <c r="A8" s="35" t="s">
        <v>72</v>
      </c>
      <c r="B8" s="91"/>
      <c r="C8" s="36"/>
      <c r="D8" s="92">
        <f>W17</f>
        <v>0.67</v>
      </c>
      <c r="E8" s="36"/>
      <c r="F8" s="37"/>
      <c r="G8" s="35">
        <v>0.7</v>
      </c>
      <c r="H8" s="37"/>
      <c r="I8" s="35">
        <v>0.8</v>
      </c>
      <c r="J8" s="37"/>
      <c r="K8" s="35">
        <v>0.9</v>
      </c>
      <c r="L8" s="37"/>
      <c r="M8" s="37"/>
      <c r="U8" s="42" t="s">
        <v>171</v>
      </c>
      <c r="V8" s="42">
        <v>162.80000000000001</v>
      </c>
      <c r="W8" s="42">
        <v>144.69999999999999</v>
      </c>
      <c r="X8" s="42">
        <v>15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49.8</v>
      </c>
      <c r="AG8" s="42">
        <v>129.9</v>
      </c>
      <c r="AI8" s="42" t="s">
        <v>46</v>
      </c>
      <c r="AJ8" s="42">
        <v>91.5</v>
      </c>
      <c r="AK8" s="42">
        <v>49.2</v>
      </c>
      <c r="AL8" s="42"/>
    </row>
    <row r="9" spans="1:38" x14ac:dyDescent="0.2">
      <c r="A9" s="83"/>
      <c r="B9" s="84"/>
      <c r="C9" s="85"/>
      <c r="D9" s="83"/>
      <c r="E9" s="85"/>
      <c r="F9" s="86"/>
      <c r="G9" s="83"/>
      <c r="H9" s="86"/>
      <c r="I9" s="83"/>
      <c r="J9" s="86"/>
      <c r="K9" s="83"/>
      <c r="L9" s="86"/>
      <c r="M9" s="86"/>
      <c r="U9" s="42" t="s">
        <v>172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18.5</v>
      </c>
      <c r="AB9" s="42">
        <v>76.5</v>
      </c>
      <c r="AC9" s="42">
        <v>110.3</v>
      </c>
      <c r="AD9" s="42">
        <v>19.5</v>
      </c>
      <c r="AE9" s="42">
        <v>0</v>
      </c>
      <c r="AF9" s="42">
        <v>0</v>
      </c>
      <c r="AG9" s="42">
        <v>0</v>
      </c>
      <c r="AI9" s="42" t="s">
        <v>136</v>
      </c>
      <c r="AJ9" s="42">
        <v>56.6</v>
      </c>
      <c r="AK9" s="42">
        <v>24</v>
      </c>
      <c r="AL9" s="42"/>
    </row>
    <row r="10" spans="1:38" x14ac:dyDescent="0.2">
      <c r="A10" s="83"/>
      <c r="B10" s="87" t="s">
        <v>158</v>
      </c>
      <c r="C10" s="85"/>
      <c r="D10" s="83">
        <f>WaterBudgeting!$AA$24/D8</f>
        <v>207.28296334583729</v>
      </c>
      <c r="E10" s="85" t="s">
        <v>157</v>
      </c>
      <c r="F10" s="86"/>
      <c r="G10" s="83">
        <f>WaterBudgeting!$AA$24/G8</f>
        <v>198.39940777387284</v>
      </c>
      <c r="H10" s="86" t="s">
        <v>157</v>
      </c>
      <c r="I10" s="83">
        <f>WaterBudgeting!$AA$24/I8</f>
        <v>173.59948180213871</v>
      </c>
      <c r="J10" s="86" t="s">
        <v>157</v>
      </c>
      <c r="K10" s="83">
        <f>WaterBudgeting!$AA$24/K8</f>
        <v>154.31065049078998</v>
      </c>
      <c r="L10" s="86" t="s">
        <v>157</v>
      </c>
      <c r="M10" s="86" t="s">
        <v>162</v>
      </c>
      <c r="U10" s="42" t="s">
        <v>173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21.1</v>
      </c>
      <c r="AB10" s="42">
        <v>83.5</v>
      </c>
      <c r="AC10" s="42">
        <v>119.1</v>
      </c>
      <c r="AD10" s="42">
        <v>64.5</v>
      </c>
      <c r="AE10" s="42">
        <v>3.7</v>
      </c>
      <c r="AF10" s="42">
        <v>0</v>
      </c>
      <c r="AG10" s="42">
        <v>0</v>
      </c>
      <c r="AI10" s="42" t="s">
        <v>137</v>
      </c>
      <c r="AJ10" s="42">
        <v>91.8</v>
      </c>
      <c r="AK10" s="42">
        <v>49.4</v>
      </c>
      <c r="AL10" s="42"/>
    </row>
    <row r="11" spans="1:38" x14ac:dyDescent="0.2">
      <c r="A11" s="88"/>
      <c r="B11" s="89"/>
      <c r="C11" s="89"/>
      <c r="D11" s="88">
        <f>D10*1.03</f>
        <v>213.50145224621241</v>
      </c>
      <c r="E11" s="89"/>
      <c r="F11" s="90"/>
      <c r="G11" s="88">
        <f>G10*1.03</f>
        <v>204.35139000708904</v>
      </c>
      <c r="H11" s="90"/>
      <c r="I11" s="88">
        <f>I10*1.03</f>
        <v>178.80746625620287</v>
      </c>
      <c r="J11" s="90"/>
      <c r="K11" s="88">
        <f>K10*1.03</f>
        <v>158.93997000551369</v>
      </c>
      <c r="L11" s="90"/>
      <c r="M11" s="90" t="s">
        <v>163</v>
      </c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I11" s="42" t="s">
        <v>138</v>
      </c>
      <c r="AJ11" s="42">
        <v>112.3</v>
      </c>
      <c r="AK11" s="42">
        <v>65.8</v>
      </c>
      <c r="AL11" s="42"/>
    </row>
    <row r="12" spans="1:38" x14ac:dyDescent="0.2">
      <c r="B12" s="71"/>
      <c r="U12" s="42" t="s">
        <v>174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I12" s="42" t="s">
        <v>139</v>
      </c>
      <c r="AJ12" s="42">
        <v>98.5</v>
      </c>
      <c r="AK12" s="42">
        <v>54.8</v>
      </c>
      <c r="AL12" s="42"/>
    </row>
    <row r="13" spans="1:38" x14ac:dyDescent="0.2">
      <c r="B13" s="71"/>
      <c r="U13" s="42" t="s">
        <v>175</v>
      </c>
      <c r="V13" s="42">
        <v>4.9000000000000004</v>
      </c>
      <c r="W13" s="42">
        <v>5.8</v>
      </c>
      <c r="X13" s="42">
        <v>2.7</v>
      </c>
      <c r="Y13" s="42">
        <v>0.2</v>
      </c>
      <c r="Z13" s="42">
        <v>0.2</v>
      </c>
      <c r="AA13" s="42">
        <v>0.8</v>
      </c>
      <c r="AB13" s="42">
        <v>2.6</v>
      </c>
      <c r="AC13" s="42">
        <v>3.7</v>
      </c>
      <c r="AD13" s="42">
        <v>2</v>
      </c>
      <c r="AE13" s="42">
        <v>0.3</v>
      </c>
      <c r="AF13" s="42">
        <v>0.9</v>
      </c>
      <c r="AG13" s="42">
        <v>2.8</v>
      </c>
      <c r="AI13" s="42" t="s">
        <v>140</v>
      </c>
      <c r="AJ13" s="42">
        <v>59</v>
      </c>
      <c r="AK13" s="42">
        <v>25.4</v>
      </c>
      <c r="AL13" s="42"/>
    </row>
    <row r="14" spans="1:38" x14ac:dyDescent="0.2">
      <c r="B14" s="71"/>
      <c r="U14" s="42" t="s">
        <v>176</v>
      </c>
      <c r="V14" s="42">
        <v>152.4</v>
      </c>
      <c r="W14" s="42">
        <v>161.5</v>
      </c>
      <c r="X14" s="42">
        <v>84.3</v>
      </c>
      <c r="Y14" s="42">
        <v>6.8</v>
      </c>
      <c r="Z14" s="42">
        <v>5.3</v>
      </c>
      <c r="AA14" s="42">
        <v>25.3</v>
      </c>
      <c r="AB14" s="42">
        <v>81.2</v>
      </c>
      <c r="AC14" s="42">
        <v>113.7</v>
      </c>
      <c r="AD14" s="42">
        <v>58.6</v>
      </c>
      <c r="AE14" s="42">
        <v>10.7</v>
      </c>
      <c r="AF14" s="42">
        <v>27</v>
      </c>
      <c r="AG14" s="42">
        <v>86.9</v>
      </c>
      <c r="AI14" s="42" t="s">
        <v>141</v>
      </c>
      <c r="AJ14" s="42">
        <v>23.1</v>
      </c>
      <c r="AK14" s="42">
        <v>3.9</v>
      </c>
      <c r="AL14" s="42"/>
    </row>
    <row r="15" spans="1:38" x14ac:dyDescent="0.2">
      <c r="U15" s="42" t="s">
        <v>186</v>
      </c>
      <c r="V15" s="42">
        <v>0.56999999999999995</v>
      </c>
      <c r="W15" s="42">
        <v>0.67</v>
      </c>
      <c r="X15" s="42">
        <v>0.31</v>
      </c>
      <c r="Y15" s="42">
        <v>0.03</v>
      </c>
      <c r="Z15" s="42">
        <v>0.02</v>
      </c>
      <c r="AA15" s="42">
        <v>0.1</v>
      </c>
      <c r="AB15" s="42">
        <v>0.3</v>
      </c>
      <c r="AC15" s="42">
        <v>0.42</v>
      </c>
      <c r="AD15" s="42">
        <v>0.23</v>
      </c>
      <c r="AE15" s="42">
        <v>0.04</v>
      </c>
      <c r="AF15" s="42">
        <v>0.1</v>
      </c>
      <c r="AG15" s="42">
        <v>0.32</v>
      </c>
      <c r="AI15" s="42" t="s">
        <v>142</v>
      </c>
      <c r="AJ15" s="42">
        <v>13.4</v>
      </c>
      <c r="AK15" s="42">
        <v>0</v>
      </c>
      <c r="AL15" s="42"/>
    </row>
    <row r="16" spans="1:38" x14ac:dyDescent="0.2">
      <c r="B16" s="71"/>
      <c r="U16" s="42" t="s">
        <v>185</v>
      </c>
      <c r="V16" s="42">
        <v>100</v>
      </c>
      <c r="W16" s="42">
        <v>100</v>
      </c>
      <c r="X16" s="42">
        <v>100</v>
      </c>
      <c r="Y16" s="42">
        <v>7</v>
      </c>
      <c r="Z16" s="42">
        <v>7</v>
      </c>
      <c r="AA16" s="42">
        <v>100</v>
      </c>
      <c r="AB16" s="42">
        <v>100</v>
      </c>
      <c r="AC16" s="42">
        <v>100</v>
      </c>
      <c r="AD16" s="42">
        <v>100</v>
      </c>
      <c r="AE16" s="42">
        <v>87</v>
      </c>
      <c r="AF16" s="42">
        <v>100</v>
      </c>
      <c r="AG16" s="42">
        <v>100</v>
      </c>
      <c r="AI16" s="42"/>
      <c r="AJ16" s="42"/>
      <c r="AK16" s="42"/>
      <c r="AL16" s="42"/>
    </row>
    <row r="17" spans="1:38" ht="15.75" x14ac:dyDescent="0.3">
      <c r="B17" s="71"/>
      <c r="N17" s="6" t="s">
        <v>165</v>
      </c>
      <c r="O17" s="6">
        <f>AVERAGE(C21:N21)</f>
        <v>153.05333333333331</v>
      </c>
      <c r="U17" s="42" t="s">
        <v>187</v>
      </c>
      <c r="V17" s="42">
        <v>0.56999999999999995</v>
      </c>
      <c r="W17" s="42">
        <v>0.67</v>
      </c>
      <c r="X17" s="42">
        <v>0.31</v>
      </c>
      <c r="Y17" s="42">
        <v>0.38</v>
      </c>
      <c r="Z17" s="42">
        <v>0.28000000000000003</v>
      </c>
      <c r="AA17" s="42">
        <v>0.1</v>
      </c>
      <c r="AB17" s="42">
        <v>0.3</v>
      </c>
      <c r="AC17" s="42">
        <v>0.42</v>
      </c>
      <c r="AD17" s="42">
        <v>0.23</v>
      </c>
      <c r="AE17" s="42">
        <v>0.05</v>
      </c>
      <c r="AF17" s="42">
        <v>0.1</v>
      </c>
      <c r="AG17" s="42">
        <v>0.32</v>
      </c>
      <c r="AI17" s="42" t="s">
        <v>74</v>
      </c>
      <c r="AJ17" s="42">
        <v>706.7</v>
      </c>
      <c r="AK17" s="42">
        <v>340.6</v>
      </c>
      <c r="AL17" s="42"/>
    </row>
    <row r="18" spans="1:38" ht="13.5" thickBot="1" x14ac:dyDescent="0.25">
      <c r="B18" s="71"/>
    </row>
    <row r="19" spans="1:38" x14ac:dyDescent="0.2">
      <c r="A19" s="201" t="s">
        <v>66</v>
      </c>
      <c r="B19" s="200" t="s">
        <v>1</v>
      </c>
      <c r="C19" s="200" t="s">
        <v>73</v>
      </c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1" t="s">
        <v>74</v>
      </c>
      <c r="U19" s="119"/>
      <c r="V19" s="105">
        <f>C24</f>
        <v>31</v>
      </c>
      <c r="W19" s="105">
        <f t="shared" ref="W19:AG19" si="1">D24</f>
        <v>28</v>
      </c>
      <c r="X19" s="105">
        <f t="shared" si="1"/>
        <v>31</v>
      </c>
      <c r="Y19" s="105">
        <f t="shared" si="1"/>
        <v>30</v>
      </c>
      <c r="Z19" s="105">
        <f t="shared" si="1"/>
        <v>31</v>
      </c>
      <c r="AA19" s="105">
        <f t="shared" si="1"/>
        <v>30</v>
      </c>
      <c r="AB19" s="105">
        <f t="shared" si="1"/>
        <v>31</v>
      </c>
      <c r="AC19" s="105">
        <f t="shared" si="1"/>
        <v>31</v>
      </c>
      <c r="AD19" s="105">
        <f t="shared" si="1"/>
        <v>30</v>
      </c>
      <c r="AE19" s="105">
        <f t="shared" si="1"/>
        <v>31</v>
      </c>
      <c r="AF19" s="105">
        <f t="shared" si="1"/>
        <v>30</v>
      </c>
      <c r="AG19" s="105">
        <f t="shared" si="1"/>
        <v>31</v>
      </c>
      <c r="AH19" s="106"/>
    </row>
    <row r="20" spans="1:38" x14ac:dyDescent="0.2">
      <c r="A20" s="201"/>
      <c r="B20" s="200"/>
      <c r="C20" s="73" t="s">
        <v>42</v>
      </c>
      <c r="D20" s="73" t="s">
        <v>43</v>
      </c>
      <c r="E20" s="73" t="s">
        <v>44</v>
      </c>
      <c r="F20" s="73" t="s">
        <v>45</v>
      </c>
      <c r="G20" s="73" t="s">
        <v>46</v>
      </c>
      <c r="H20" s="73" t="s">
        <v>47</v>
      </c>
      <c r="I20" s="73" t="s">
        <v>48</v>
      </c>
      <c r="J20" s="73" t="s">
        <v>49</v>
      </c>
      <c r="K20" s="73" t="s">
        <v>50</v>
      </c>
      <c r="L20" s="73" t="s">
        <v>51</v>
      </c>
      <c r="M20" s="73" t="s">
        <v>52</v>
      </c>
      <c r="N20" s="73" t="s">
        <v>53</v>
      </c>
      <c r="O20" s="201"/>
      <c r="U20" s="120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107" t="s">
        <v>190</v>
      </c>
    </row>
    <row r="21" spans="1:38" ht="16.5" customHeight="1" x14ac:dyDescent="0.2">
      <c r="A21" s="42">
        <v>1</v>
      </c>
      <c r="B21" s="55" t="s">
        <v>146</v>
      </c>
      <c r="C21" s="42">
        <f>C24*HydrologyData!AS22</f>
        <v>140.43</v>
      </c>
      <c r="D21" s="42">
        <f>D24*HydrologyData!AS23</f>
        <v>142.24</v>
      </c>
      <c r="E21" s="42">
        <f>E24*HydrologyData!AS24</f>
        <v>160.89000000000001</v>
      </c>
      <c r="F21" s="42">
        <f>F24*HydrologyData!AS25</f>
        <v>159.9</v>
      </c>
      <c r="G21" s="42">
        <f>G24*HydrologyData!AS26</f>
        <v>165.23</v>
      </c>
      <c r="H21" s="42">
        <f>H24*HydrologyData!AS27</f>
        <v>144.29999999999998</v>
      </c>
      <c r="I21" s="42">
        <f>I24*HydrologyData!AS28</f>
        <v>139.5</v>
      </c>
      <c r="J21" s="42">
        <f>J24*HydrologyData!AS29</f>
        <v>157.79</v>
      </c>
      <c r="K21" s="42">
        <f>K24*HydrologyData!AS30</f>
        <v>144.29999999999998</v>
      </c>
      <c r="L21" s="42">
        <f>L24*HydrologyData!AS31</f>
        <v>163.36999999999998</v>
      </c>
      <c r="M21" s="76">
        <f>M24*HydrologyData!AS32</f>
        <v>157.79999999999998</v>
      </c>
      <c r="N21" s="42">
        <f>N24*HydrologyData!AS33</f>
        <v>160.89000000000001</v>
      </c>
      <c r="O21" s="52">
        <f>SUM(C21:N21)</f>
        <v>1836.6399999999999</v>
      </c>
      <c r="U21" s="120" t="s">
        <v>189</v>
      </c>
      <c r="V21" s="85">
        <f>V17*10^(-3)*V16/100*WaterBudgeting!$AJ$8*V19*24*3600/1000000</f>
        <v>0.30829225685221684</v>
      </c>
      <c r="W21" s="85">
        <f>W17*10^(-3)*W16/100*WaterBudgeting!$AJ$8*W19*24*3600/1000000</f>
        <v>0.32730971921604912</v>
      </c>
      <c r="X21" s="85">
        <f>X17*10^(-3)*X16/100*WaterBudgeting!$AJ$8*X19*24*3600/1000000</f>
        <v>0.16766771863892493</v>
      </c>
      <c r="Y21" s="85">
        <f>Y17*10^(-3)*Y16/100*WaterBudgeting!$AJ$8*Y19*24*3600/1000000</f>
        <v>1.3922876115906566E-2</v>
      </c>
      <c r="Z21" s="85">
        <f>Z17*10^(-3)*Z16/100*WaterBudgeting!$AJ$8*Z19*24*3600/1000000</f>
        <v>1.0600926726848158E-2</v>
      </c>
      <c r="AA21" s="85">
        <f>AA17*10^(-3)*AA16/100*WaterBudgeting!$AJ$8*AA19*24*3600/1000000</f>
        <v>5.2341639533483343E-2</v>
      </c>
      <c r="AB21" s="85">
        <f>AB17*10^(-3)*AB16/100*WaterBudgeting!$AJ$8*AB19*24*3600/1000000</f>
        <v>0.16225908255379834</v>
      </c>
      <c r="AC21" s="85">
        <f>AC17*10^(-3)*AC16/100*WaterBudgeting!$AJ$8*AC19*24*3600/1000000</f>
        <v>0.22716271557531767</v>
      </c>
      <c r="AD21" s="85">
        <f>AD17*10^(-3)*AD16/100*WaterBudgeting!$AJ$8*AD19*24*3600/1000000</f>
        <v>0.12038577092701166</v>
      </c>
      <c r="AE21" s="85">
        <f>AE17*10^(-3)*AE16/100*WaterBudgeting!$AJ$8*AE19*24*3600/1000000</f>
        <v>2.3527566970300763E-2</v>
      </c>
      <c r="AF21" s="85">
        <f>AF17*10^(-3)*AF16/100*WaterBudgeting!$AJ$8*AF19*24*3600/1000000</f>
        <v>5.2341639533483343E-2</v>
      </c>
      <c r="AG21" s="85">
        <f>AG17*10^(-3)*AG16/100*WaterBudgeting!$AJ$8*AG19*24*3600/1000000</f>
        <v>0.17307635472405158</v>
      </c>
      <c r="AH21" s="121">
        <f>SUM(V21:AG21)</f>
        <v>1.6388882673673923</v>
      </c>
    </row>
    <row r="22" spans="1:38" ht="16.5" customHeight="1" x14ac:dyDescent="0.2">
      <c r="A22" s="42">
        <v>2</v>
      </c>
      <c r="B22" s="55" t="s">
        <v>75</v>
      </c>
      <c r="C22" s="74">
        <f>HydrologyData!B24</f>
        <v>23.280627429530075</v>
      </c>
      <c r="D22" s="74">
        <f>HydrologyData!C24</f>
        <v>10.290681125148804</v>
      </c>
      <c r="E22" s="74">
        <f>HydrologyData!D24</f>
        <v>79.711139113220852</v>
      </c>
      <c r="F22" s="74">
        <f>HydrologyData!E24</f>
        <v>119.93303602423762</v>
      </c>
      <c r="G22" s="74">
        <f>HydrologyData!F24</f>
        <v>114.22464707964984</v>
      </c>
      <c r="H22" s="74">
        <f>HydrologyData!G24</f>
        <v>77.598202007806805</v>
      </c>
      <c r="I22" s="74">
        <f>HydrologyData!H24</f>
        <v>158.63560257828132</v>
      </c>
      <c r="J22" s="74">
        <f>HydrologyData!I24</f>
        <v>196.28390071167422</v>
      </c>
      <c r="K22" s="74">
        <f>HydrologyData!J24</f>
        <v>150.90547284039729</v>
      </c>
      <c r="L22" s="74">
        <f>HydrologyData!K24</f>
        <v>76.3719589730309</v>
      </c>
      <c r="M22" s="74">
        <f>HydrologyData!L24</f>
        <v>28.6587229685084</v>
      </c>
      <c r="N22" s="74">
        <f>HydrologyData!M24</f>
        <v>24.564190630239672</v>
      </c>
      <c r="O22" s="52">
        <f>SUM(C22:N22)</f>
        <v>1060.4581814817259</v>
      </c>
      <c r="U22" s="120" t="s">
        <v>191</v>
      </c>
      <c r="V22" s="85">
        <f>$W$17*10^(-3)*V16/100*WaterBudgeting!$AJ$8*V19*24*3600/1000000</f>
        <v>0.36237861770348301</v>
      </c>
      <c r="W22" s="85">
        <f>$W$17*10^(-3)*W16/100*WaterBudgeting!$AJ$8*W19*24*3600/1000000</f>
        <v>0.32730971921604912</v>
      </c>
      <c r="X22" s="85">
        <f>$W$17*10^(-3)*X16/100*WaterBudgeting!$AJ$8*X19*24*3600/1000000</f>
        <v>0.36237861770348301</v>
      </c>
      <c r="Y22" s="85">
        <f>$W$17*10^(-3)*Y16/100*WaterBudgeting!$AJ$8*Y19*24*3600/1000000</f>
        <v>2.4548228941203683E-2</v>
      </c>
      <c r="Z22" s="85">
        <f>$W$17*10^(-3)*Z16/100*WaterBudgeting!$AJ$8*Z19*24*3600/1000000</f>
        <v>2.5366503239243807E-2</v>
      </c>
      <c r="AA22" s="85">
        <f>$W$17*10^(-3)*AA16/100*WaterBudgeting!$AJ$8*AA19*24*3600/1000000</f>
        <v>0.35068898487433836</v>
      </c>
      <c r="AB22" s="85">
        <f>$W$17*10^(-3)*AB16/100*WaterBudgeting!$AJ$8*AB19*24*3600/1000000</f>
        <v>0.36237861770348301</v>
      </c>
      <c r="AC22" s="85">
        <f>$W$17*10^(-3)*AC16/100*WaterBudgeting!$AJ$8*AC19*24*3600/1000000</f>
        <v>0.36237861770348301</v>
      </c>
      <c r="AD22" s="85">
        <f>$W$17*10^(-3)*AD16/100*WaterBudgeting!$AJ$8*AD19*24*3600/1000000</f>
        <v>0.35068898487433836</v>
      </c>
      <c r="AE22" s="85">
        <f>$W$17*10^(-3)*AE16/100*WaterBudgeting!$AJ$8*AE19*24*3600/1000000</f>
        <v>0.31526939740203019</v>
      </c>
      <c r="AF22" s="85">
        <f>$W$17*10^(-3)*AF16/100*WaterBudgeting!$AJ$8*AF19*24*3600/1000000</f>
        <v>0.35068898487433836</v>
      </c>
      <c r="AG22" s="85">
        <f>$W$17*10^(-3)*AG16/100*WaterBudgeting!$AJ$8*AG19*24*3600/1000000</f>
        <v>0.36237861770348301</v>
      </c>
      <c r="AH22" s="125">
        <f>SUM(V22:AG22)</f>
        <v>3.5564538919389577</v>
      </c>
    </row>
    <row r="23" spans="1:38" ht="13.5" thickBot="1" x14ac:dyDescent="0.25">
      <c r="A23" s="42">
        <v>3</v>
      </c>
      <c r="B23" s="55" t="s">
        <v>145</v>
      </c>
      <c r="C23" s="42">
        <v>0</v>
      </c>
      <c r="D23" s="42">
        <v>0</v>
      </c>
      <c r="E23" s="42">
        <v>18.3</v>
      </c>
      <c r="F23" s="42">
        <v>49.8</v>
      </c>
      <c r="G23" s="42">
        <v>49.2</v>
      </c>
      <c r="H23" s="42">
        <v>24</v>
      </c>
      <c r="I23" s="42">
        <v>49.4</v>
      </c>
      <c r="J23" s="42">
        <v>65.8</v>
      </c>
      <c r="K23" s="42">
        <v>54.8</v>
      </c>
      <c r="L23" s="42">
        <v>25.4</v>
      </c>
      <c r="M23" s="42">
        <v>3.9</v>
      </c>
      <c r="N23" s="42">
        <v>0</v>
      </c>
      <c r="O23" s="52">
        <f>SUM(C23:N23)</f>
        <v>340.59999999999997</v>
      </c>
      <c r="U23" s="122" t="s">
        <v>192</v>
      </c>
      <c r="V23" s="123">
        <f>WaterBudgeting!O23</f>
        <v>0.37910885033620062</v>
      </c>
      <c r="W23" s="123">
        <f>WaterBudgeting!P23</f>
        <v>0.34242089707785861</v>
      </c>
      <c r="X23" s="123">
        <f>WaterBudgeting!Q23</f>
        <v>0.37910885033620062</v>
      </c>
      <c r="Y23" s="123">
        <f>WaterBudgeting!R23</f>
        <v>0.36687953258341993</v>
      </c>
      <c r="Z23" s="123">
        <f>WaterBudgeting!S23</f>
        <v>0.37910885033620062</v>
      </c>
      <c r="AA23" s="123">
        <f>WaterBudgeting!T23</f>
        <v>0.36687953258341993</v>
      </c>
      <c r="AB23" s="123">
        <f>WaterBudgeting!U23</f>
        <v>0.37910885033620062</v>
      </c>
      <c r="AC23" s="123">
        <f>WaterBudgeting!V23</f>
        <v>0.37910885033620062</v>
      </c>
      <c r="AD23" s="123">
        <f>WaterBudgeting!W23</f>
        <v>0.36687953258341993</v>
      </c>
      <c r="AE23" s="123">
        <f>WaterBudgeting!X23</f>
        <v>0.37910885033620062</v>
      </c>
      <c r="AF23" s="123">
        <f>WaterBudgeting!Y23</f>
        <v>0.36687953258341993</v>
      </c>
      <c r="AG23" s="123">
        <f>WaterBudgeting!Z23</f>
        <v>0.37910885033620062</v>
      </c>
      <c r="AH23" s="124">
        <f>SUM(V23:AG23)</f>
        <v>4.4637009797649423</v>
      </c>
    </row>
    <row r="24" spans="1:38" ht="25.5" x14ac:dyDescent="0.2">
      <c r="A24" s="42">
        <v>4</v>
      </c>
      <c r="B24" s="70" t="s">
        <v>71</v>
      </c>
      <c r="C24" s="72">
        <v>31</v>
      </c>
      <c r="D24" s="72">
        <v>28</v>
      </c>
      <c r="E24" s="56">
        <v>31</v>
      </c>
      <c r="F24" s="72">
        <v>30</v>
      </c>
      <c r="G24" s="72">
        <v>31</v>
      </c>
      <c r="H24" s="72">
        <v>30</v>
      </c>
      <c r="I24" s="72">
        <v>31</v>
      </c>
      <c r="J24" s="72">
        <v>31</v>
      </c>
      <c r="K24" s="72">
        <v>30</v>
      </c>
      <c r="L24" s="72">
        <v>31</v>
      </c>
      <c r="M24" s="72">
        <v>30</v>
      </c>
      <c r="N24" s="72">
        <v>31</v>
      </c>
      <c r="O24" s="42"/>
    </row>
    <row r="25" spans="1:38" x14ac:dyDescent="0.2">
      <c r="A25" s="42">
        <v>5</v>
      </c>
      <c r="B25" s="55" t="s">
        <v>266</v>
      </c>
      <c r="C25" s="38">
        <f t="shared" ref="C25:O25" si="2">C4</f>
        <v>152.4</v>
      </c>
      <c r="D25" s="38">
        <f t="shared" si="2"/>
        <v>161.5</v>
      </c>
      <c r="E25" s="38">
        <f t="shared" si="2"/>
        <v>84.3</v>
      </c>
      <c r="F25" s="38">
        <f t="shared" si="2"/>
        <v>6.8</v>
      </c>
      <c r="G25" s="38">
        <f t="shared" si="2"/>
        <v>5.3</v>
      </c>
      <c r="H25" s="38">
        <f t="shared" si="2"/>
        <v>25.3</v>
      </c>
      <c r="I25" s="38">
        <f t="shared" si="2"/>
        <v>81.2</v>
      </c>
      <c r="J25" s="38">
        <f t="shared" si="2"/>
        <v>113.7</v>
      </c>
      <c r="K25" s="38">
        <f t="shared" si="2"/>
        <v>58.6</v>
      </c>
      <c r="L25" s="38">
        <f t="shared" si="2"/>
        <v>10.7</v>
      </c>
      <c r="M25" s="38">
        <f t="shared" si="2"/>
        <v>27</v>
      </c>
      <c r="N25" s="38">
        <f t="shared" si="2"/>
        <v>86.9</v>
      </c>
      <c r="O25" s="54">
        <f t="shared" si="2"/>
        <v>813.70000000000016</v>
      </c>
    </row>
    <row r="26" spans="1:38" ht="25.5" x14ac:dyDescent="0.2">
      <c r="A26" s="42">
        <v>6</v>
      </c>
      <c r="B26" s="55" t="s">
        <v>156</v>
      </c>
      <c r="C26" s="38">
        <f t="shared" ref="C26:N26" si="3">C25/C$24</f>
        <v>4.9161290322580644</v>
      </c>
      <c r="D26" s="38">
        <f t="shared" si="3"/>
        <v>5.7678571428571432</v>
      </c>
      <c r="E26" s="38">
        <f t="shared" si="3"/>
        <v>2.7193548387096773</v>
      </c>
      <c r="F26" s="38">
        <f t="shared" si="3"/>
        <v>0.22666666666666666</v>
      </c>
      <c r="G26" s="38">
        <f t="shared" si="3"/>
        <v>0.17096774193548386</v>
      </c>
      <c r="H26" s="38">
        <f t="shared" si="3"/>
        <v>0.84333333333333338</v>
      </c>
      <c r="I26" s="38">
        <f t="shared" si="3"/>
        <v>2.6193548387096777</v>
      </c>
      <c r="J26" s="38">
        <f t="shared" si="3"/>
        <v>3.6677419354838712</v>
      </c>
      <c r="K26" s="38">
        <f t="shared" si="3"/>
        <v>1.9533333333333334</v>
      </c>
      <c r="L26" s="38">
        <f t="shared" si="3"/>
        <v>0.34516129032258064</v>
      </c>
      <c r="M26" s="38">
        <f t="shared" si="3"/>
        <v>0.9</v>
      </c>
      <c r="N26" s="38">
        <f t="shared" si="3"/>
        <v>2.8032258064516129</v>
      </c>
      <c r="O26" s="42"/>
      <c r="U26" s="108" t="s">
        <v>193</v>
      </c>
      <c r="V26" s="98">
        <f>(10^4*V4*10^(-3))/(W17*V19*24*3600)</f>
        <v>8.4534763458692205E-4</v>
      </c>
      <c r="AI26" s="6" t="s">
        <v>0</v>
      </c>
    </row>
  </sheetData>
  <mergeCells count="4">
    <mergeCell ref="C19:N19"/>
    <mergeCell ref="B19:B20"/>
    <mergeCell ref="A19:A20"/>
    <mergeCell ref="O19:O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1"/>
  <sheetViews>
    <sheetView workbookViewId="0">
      <selection activeCell="J27" sqref="J27"/>
    </sheetView>
  </sheetViews>
  <sheetFormatPr defaultRowHeight="12.75" x14ac:dyDescent="0.2"/>
  <cols>
    <col min="1" max="1" width="5" style="6" customWidth="1"/>
    <col min="2" max="2" width="27.42578125" style="6" customWidth="1"/>
    <col min="3" max="3" width="6.7109375" style="6" customWidth="1"/>
    <col min="4" max="8" width="7" style="6" bestFit="1" customWidth="1"/>
    <col min="9" max="9" width="3.140625" style="6" customWidth="1"/>
    <col min="10" max="10" width="4" style="6" customWidth="1"/>
    <col min="11" max="11" width="9.140625" style="6"/>
    <col min="12" max="12" width="5.85546875" style="6" customWidth="1"/>
    <col min="13" max="13" width="3.5703125" style="6" bestFit="1" customWidth="1"/>
    <col min="14" max="14" width="34.28515625" style="6" customWidth="1"/>
    <col min="15" max="15" width="7.140625" style="6" customWidth="1"/>
    <col min="16" max="16" width="7.28515625" style="6" customWidth="1"/>
    <col min="17" max="17" width="8.5703125" style="6" customWidth="1"/>
    <col min="18" max="18" width="12.140625" style="6" customWidth="1"/>
    <col min="19" max="19" width="9" style="6" customWidth="1"/>
    <col min="20" max="23" width="6.7109375" style="6" bestFit="1" customWidth="1"/>
    <col min="24" max="24" width="5.7109375" style="6" bestFit="1" customWidth="1"/>
    <col min="25" max="26" width="6.7109375" style="6" bestFit="1" customWidth="1"/>
    <col min="27" max="27" width="5.7109375" style="6" bestFit="1" customWidth="1"/>
    <col min="28" max="28" width="7.42578125" style="6" bestFit="1" customWidth="1"/>
    <col min="29" max="29" width="6.7109375" style="6" bestFit="1" customWidth="1"/>
    <col min="30" max="30" width="14.7109375" style="6" bestFit="1" customWidth="1"/>
    <col min="31" max="31" width="17.42578125" style="6" customWidth="1"/>
    <col min="32" max="32" width="15.5703125" style="6" customWidth="1"/>
    <col min="33" max="33" width="17.5703125" style="6" customWidth="1"/>
    <col min="34" max="34" width="13.140625" style="6" customWidth="1"/>
    <col min="35" max="35" width="18.140625" style="6" customWidth="1"/>
    <col min="36" max="37" width="9.140625" style="6"/>
    <col min="38" max="38" width="11.140625" style="6" customWidth="1"/>
    <col min="39" max="16384" width="9.140625" style="6"/>
  </cols>
  <sheetData>
    <row r="1" spans="1:38" ht="15" x14ac:dyDescent="0.25">
      <c r="C1" s="167"/>
      <c r="D1" s="6" t="s">
        <v>232</v>
      </c>
    </row>
    <row r="2" spans="1:38" x14ac:dyDescent="0.2">
      <c r="C2" s="168"/>
      <c r="D2" s="6" t="s">
        <v>231</v>
      </c>
    </row>
    <row r="3" spans="1:38" ht="15" x14ac:dyDescent="0.25">
      <c r="A3" s="3"/>
      <c r="B3" s="4" t="s">
        <v>235</v>
      </c>
      <c r="C3" s="3"/>
      <c r="D3" s="3"/>
      <c r="E3" s="3"/>
      <c r="F3" s="3"/>
      <c r="G3" s="3"/>
      <c r="H3" s="3"/>
      <c r="N3" s="6" t="s">
        <v>233</v>
      </c>
      <c r="AD3" s="113" t="s">
        <v>65</v>
      </c>
      <c r="AE3" s="1"/>
      <c r="AF3" s="1"/>
      <c r="AG3" s="1"/>
      <c r="AH3" s="1"/>
      <c r="AI3" s="1"/>
      <c r="AJ3" s="1"/>
      <c r="AK3" s="1"/>
      <c r="AL3" s="1"/>
    </row>
    <row r="4" spans="1:38" ht="22.5" customHeight="1" x14ac:dyDescent="0.2">
      <c r="A4" s="7" t="s">
        <v>35</v>
      </c>
      <c r="B4" s="7" t="s">
        <v>1</v>
      </c>
      <c r="C4" s="7" t="s">
        <v>2</v>
      </c>
      <c r="D4" s="7">
        <v>2012</v>
      </c>
      <c r="E4" s="7">
        <v>2017</v>
      </c>
      <c r="F4" s="7">
        <v>2022</v>
      </c>
      <c r="G4" s="7">
        <v>2027</v>
      </c>
      <c r="H4" s="7">
        <v>2032</v>
      </c>
      <c r="M4" s="33" t="s">
        <v>35</v>
      </c>
      <c r="N4" s="33" t="s">
        <v>25</v>
      </c>
      <c r="O4" s="33" t="s">
        <v>26</v>
      </c>
      <c r="P4" s="30" t="s">
        <v>56</v>
      </c>
      <c r="Q4" s="30" t="s">
        <v>55</v>
      </c>
      <c r="R4" s="44" t="s">
        <v>54</v>
      </c>
      <c r="AD4" s="205" t="s">
        <v>58</v>
      </c>
      <c r="AE4" s="205" t="s">
        <v>194</v>
      </c>
      <c r="AF4" s="205" t="s">
        <v>59</v>
      </c>
      <c r="AG4" s="205"/>
      <c r="AH4" s="205"/>
      <c r="AI4" s="205"/>
      <c r="AJ4" s="205"/>
      <c r="AK4" s="202" t="s">
        <v>64</v>
      </c>
      <c r="AL4" s="202" t="s">
        <v>182</v>
      </c>
    </row>
    <row r="5" spans="1:38" ht="16.5" customHeight="1" x14ac:dyDescent="0.2">
      <c r="A5" s="8">
        <v>1</v>
      </c>
      <c r="B5" s="9" t="s">
        <v>3</v>
      </c>
      <c r="C5" s="10"/>
      <c r="D5" s="10"/>
      <c r="E5" s="10"/>
      <c r="F5" s="10"/>
      <c r="G5" s="10"/>
      <c r="H5" s="10"/>
      <c r="M5" s="42">
        <v>1</v>
      </c>
      <c r="N5" s="31" t="s">
        <v>27</v>
      </c>
      <c r="O5" s="32">
        <v>350</v>
      </c>
      <c r="P5" s="32">
        <v>16.399999999999999</v>
      </c>
      <c r="Q5" s="32">
        <v>56.1</v>
      </c>
      <c r="R5" s="32">
        <v>25</v>
      </c>
      <c r="AD5" s="205"/>
      <c r="AE5" s="205"/>
      <c r="AF5" s="126" t="s">
        <v>164</v>
      </c>
      <c r="AG5" s="126" t="s">
        <v>237</v>
      </c>
      <c r="AH5" s="126" t="s">
        <v>238</v>
      </c>
      <c r="AI5" s="126" t="s">
        <v>161</v>
      </c>
      <c r="AJ5" s="126" t="s">
        <v>60</v>
      </c>
      <c r="AK5" s="203"/>
      <c r="AL5" s="203"/>
    </row>
    <row r="6" spans="1:38" ht="15" x14ac:dyDescent="0.25">
      <c r="A6" s="8">
        <v>1.1000000000000001</v>
      </c>
      <c r="B6" s="95" t="s">
        <v>177</v>
      </c>
      <c r="C6" s="10" t="s">
        <v>34</v>
      </c>
      <c r="D6" s="176">
        <v>5544</v>
      </c>
      <c r="E6" s="176">
        <f>D6*((1+(2.5/100))^5)</f>
        <v>6272.5271322656226</v>
      </c>
      <c r="F6" s="176">
        <f>D6*((1+(2.5/100))^10)</f>
        <v>7096.7887130246036</v>
      </c>
      <c r="G6" s="176">
        <f>D6*((1+(2.5/100))^15)</f>
        <v>8029.3650350655244</v>
      </c>
      <c r="H6" s="176">
        <f>D6*((1+(2.5/100))^20)</f>
        <v>9084.4895449699525</v>
      </c>
      <c r="K6" s="6" t="s">
        <v>0</v>
      </c>
      <c r="M6" s="42">
        <v>2</v>
      </c>
      <c r="N6" s="31" t="s">
        <v>28</v>
      </c>
      <c r="O6" s="32">
        <v>35</v>
      </c>
      <c r="P6" s="32">
        <v>1.9</v>
      </c>
      <c r="Q6" s="32">
        <v>5.2</v>
      </c>
      <c r="R6" s="32">
        <v>5</v>
      </c>
      <c r="AD6" s="81" t="s">
        <v>61</v>
      </c>
      <c r="AE6" s="174">
        <v>212.91</v>
      </c>
      <c r="AF6" s="174">
        <v>136.61420382200001</v>
      </c>
      <c r="AG6" s="174">
        <v>1.1000000000000001</v>
      </c>
      <c r="AH6" s="63">
        <f>SUM(AF6:AG6)</f>
        <v>137.714203822</v>
      </c>
      <c r="AI6" s="82">
        <f>AF6*3%</f>
        <v>4.0984261146600005</v>
      </c>
      <c r="AJ6" s="94">
        <f>AF6-AI6</f>
        <v>132.51577770734002</v>
      </c>
      <c r="AK6" s="82">
        <f>AJ6*CWRData!$D$8</f>
        <v>88.785571063917814</v>
      </c>
      <c r="AL6" s="99">
        <f>AF6/$AF$8</f>
        <v>0.65622876715143408</v>
      </c>
    </row>
    <row r="7" spans="1:38" ht="15" x14ac:dyDescent="0.25">
      <c r="A7" s="8">
        <v>1.2</v>
      </c>
      <c r="B7" s="11" t="s">
        <v>19</v>
      </c>
      <c r="C7" s="10" t="s">
        <v>34</v>
      </c>
      <c r="D7" s="176">
        <v>5000</v>
      </c>
      <c r="E7" s="176">
        <f>D7*((1+(2/100))^5)</f>
        <v>5520.4040160000004</v>
      </c>
      <c r="F7" s="176">
        <f t="shared" ref="F7:H7" si="0">E7*((1+(2/100))^5)</f>
        <v>6094.9720999737865</v>
      </c>
      <c r="G7" s="176">
        <f t="shared" si="0"/>
        <v>6729.3416916206488</v>
      </c>
      <c r="H7" s="176">
        <f t="shared" si="0"/>
        <v>7429.7369798917725</v>
      </c>
      <c r="M7" s="42">
        <v>3</v>
      </c>
      <c r="N7" s="31" t="s">
        <v>29</v>
      </c>
      <c r="O7" s="32">
        <v>30</v>
      </c>
      <c r="P7" s="32">
        <v>2</v>
      </c>
      <c r="Q7" s="32">
        <v>5.4</v>
      </c>
      <c r="R7" s="32">
        <v>5</v>
      </c>
      <c r="AD7" s="81" t="s">
        <v>62</v>
      </c>
      <c r="AE7" s="174">
        <v>249.71</v>
      </c>
      <c r="AF7" s="174">
        <v>71.566556700000007</v>
      </c>
      <c r="AG7" s="174">
        <v>7.32</v>
      </c>
      <c r="AH7" s="63">
        <f t="shared" ref="AH7:AH8" si="1">SUM(AF7:AG7)</f>
        <v>78.8865567</v>
      </c>
      <c r="AI7" s="82">
        <f>AF7*3%</f>
        <v>2.146996701</v>
      </c>
      <c r="AJ7" s="94">
        <f>AF7-AI7</f>
        <v>69.419559999000001</v>
      </c>
      <c r="AK7" s="82">
        <f>AJ7*CWRData!$D$8</f>
        <v>46.511105199330004</v>
      </c>
      <c r="AL7" s="99">
        <f>AF7/$AF$8</f>
        <v>0.34377123284856592</v>
      </c>
    </row>
    <row r="8" spans="1:38" ht="15" x14ac:dyDescent="0.25">
      <c r="A8" s="8"/>
      <c r="B8" s="11" t="s">
        <v>33</v>
      </c>
      <c r="C8" s="12"/>
      <c r="D8" s="13">
        <f>SUM(D6:D7)</f>
        <v>10544</v>
      </c>
      <c r="E8" s="13">
        <f t="shared" ref="E8:H8" si="2">SUM(E6:E7)</f>
        <v>11792.931148265623</v>
      </c>
      <c r="F8" s="13">
        <f t="shared" si="2"/>
        <v>13191.760812998389</v>
      </c>
      <c r="G8" s="13">
        <f t="shared" si="2"/>
        <v>14758.706726686174</v>
      </c>
      <c r="H8" s="13">
        <f t="shared" si="2"/>
        <v>16514.226524861726</v>
      </c>
      <c r="K8" s="6" t="s">
        <v>0</v>
      </c>
      <c r="M8" s="42">
        <v>4</v>
      </c>
      <c r="N8" s="31" t="s">
        <v>30</v>
      </c>
      <c r="O8" s="32"/>
      <c r="P8" s="32"/>
      <c r="Q8" s="32"/>
      <c r="R8" s="32">
        <v>12</v>
      </c>
      <c r="AD8" s="81" t="s">
        <v>63</v>
      </c>
      <c r="AE8" s="174">
        <f>SUM(AE6:AE7)</f>
        <v>462.62</v>
      </c>
      <c r="AF8" s="174">
        <v>208.18076052200001</v>
      </c>
      <c r="AG8" s="174">
        <f>SUM(AG6:AG7)</f>
        <v>8.42</v>
      </c>
      <c r="AH8" s="63">
        <f t="shared" si="1"/>
        <v>216.600760522</v>
      </c>
      <c r="AI8" s="82">
        <f>AF8*3%</f>
        <v>6.2454228156600005</v>
      </c>
      <c r="AJ8" s="175">
        <f>SUM(AJ6:AJ7)</f>
        <v>201.93533770634002</v>
      </c>
      <c r="AK8" s="82">
        <f>SUM(AK6:AK7)</f>
        <v>135.29667626324783</v>
      </c>
      <c r="AL8" s="82"/>
    </row>
    <row r="9" spans="1:38" x14ac:dyDescent="0.2">
      <c r="A9" s="18">
        <v>2</v>
      </c>
      <c r="B9" s="19" t="s">
        <v>4</v>
      </c>
      <c r="C9" s="20"/>
      <c r="D9" s="20"/>
      <c r="E9" s="20"/>
      <c r="F9" s="20"/>
      <c r="G9" s="20"/>
      <c r="H9" s="20"/>
      <c r="I9" s="14"/>
      <c r="J9" s="14"/>
      <c r="M9" s="42"/>
      <c r="N9" s="35"/>
      <c r="O9" s="36"/>
      <c r="P9" s="36"/>
      <c r="Q9" s="37" t="s">
        <v>32</v>
      </c>
      <c r="R9" s="38">
        <f>AVERAGE(R5:R8)</f>
        <v>11.75</v>
      </c>
    </row>
    <row r="10" spans="1:38" ht="15" x14ac:dyDescent="0.25">
      <c r="A10" s="18">
        <v>2.1</v>
      </c>
      <c r="B10" s="16" t="s">
        <v>5</v>
      </c>
      <c r="C10" s="20" t="s">
        <v>23</v>
      </c>
      <c r="D10" s="15">
        <f>D6*20/1000</f>
        <v>110.88</v>
      </c>
      <c r="E10" s="15">
        <f>E6*20/1000</f>
        <v>125.45054264531245</v>
      </c>
      <c r="F10" s="15">
        <f>F6*23/1000</f>
        <v>163.22614039956588</v>
      </c>
      <c r="G10" s="15">
        <f>G6*23/1000</f>
        <v>184.67539580650705</v>
      </c>
      <c r="H10" s="15">
        <f>H6*25/1000</f>
        <v>227.11223862424879</v>
      </c>
      <c r="I10" s="14"/>
      <c r="J10" s="14" t="s">
        <v>0</v>
      </c>
      <c r="R10" s="6" t="s">
        <v>181</v>
      </c>
      <c r="T10" s="166">
        <v>198</v>
      </c>
      <c r="U10" s="6" t="s">
        <v>10</v>
      </c>
    </row>
    <row r="11" spans="1:38" ht="14.25" x14ac:dyDescent="0.2">
      <c r="A11" s="18">
        <v>2.2000000000000002</v>
      </c>
      <c r="B11" s="196" t="s">
        <v>261</v>
      </c>
      <c r="C11" s="20" t="s">
        <v>23</v>
      </c>
      <c r="D11" s="15">
        <f t="shared" ref="D11:H11" si="3">D10*15%</f>
        <v>16.631999999999998</v>
      </c>
      <c r="E11" s="15">
        <f t="shared" si="3"/>
        <v>18.817581396796868</v>
      </c>
      <c r="F11" s="15">
        <f t="shared" si="3"/>
        <v>24.483921059934882</v>
      </c>
      <c r="G11" s="15">
        <f t="shared" si="3"/>
        <v>27.701309370976059</v>
      </c>
      <c r="H11" s="15">
        <f t="shared" si="3"/>
        <v>34.066835793637317</v>
      </c>
      <c r="I11" s="14"/>
      <c r="J11" s="14"/>
      <c r="K11" s="6" t="s">
        <v>0</v>
      </c>
      <c r="L11" s="6" t="s">
        <v>0</v>
      </c>
      <c r="R11" s="6" t="s">
        <v>195</v>
      </c>
      <c r="S11" s="93"/>
      <c r="T11" s="93">
        <v>0.75</v>
      </c>
    </row>
    <row r="12" spans="1:38" ht="14.25" x14ac:dyDescent="0.2">
      <c r="A12" s="18">
        <v>2.2999999999999998</v>
      </c>
      <c r="B12" s="16" t="s">
        <v>6</v>
      </c>
      <c r="C12" s="20" t="s">
        <v>23</v>
      </c>
      <c r="D12" s="15">
        <f>D10*3%</f>
        <v>3.3263999999999996</v>
      </c>
      <c r="E12" s="15">
        <f t="shared" ref="E12:H12" si="4">E10*3%</f>
        <v>3.7635162793593735</v>
      </c>
      <c r="F12" s="15">
        <f t="shared" si="4"/>
        <v>4.8967842119869758</v>
      </c>
      <c r="G12" s="15">
        <f t="shared" si="4"/>
        <v>5.5402618741952114</v>
      </c>
      <c r="H12" s="15">
        <f t="shared" si="4"/>
        <v>6.8133671587274636</v>
      </c>
      <c r="I12" s="14"/>
      <c r="J12" s="14"/>
      <c r="N12" s="6" t="s">
        <v>234</v>
      </c>
    </row>
    <row r="13" spans="1:38" ht="14.25" x14ac:dyDescent="0.2">
      <c r="A13" s="18">
        <v>2.4</v>
      </c>
      <c r="B13" s="16" t="s">
        <v>31</v>
      </c>
      <c r="C13" s="20" t="s">
        <v>23</v>
      </c>
      <c r="D13" s="15">
        <f>D7*12/1000</f>
        <v>60</v>
      </c>
      <c r="E13" s="15">
        <f t="shared" ref="E13:H13" si="5">E7*12/1000</f>
        <v>66.244848192000006</v>
      </c>
      <c r="F13" s="15">
        <f t="shared" si="5"/>
        <v>73.139665199685439</v>
      </c>
      <c r="G13" s="15">
        <f t="shared" si="5"/>
        <v>80.75210029944779</v>
      </c>
      <c r="H13" s="15">
        <f t="shared" si="5"/>
        <v>89.156843758701271</v>
      </c>
      <c r="I13" s="14"/>
      <c r="J13" s="14"/>
      <c r="M13" s="43" t="s">
        <v>35</v>
      </c>
      <c r="N13" s="43" t="s">
        <v>153</v>
      </c>
      <c r="O13" s="43" t="s">
        <v>42</v>
      </c>
      <c r="P13" s="43" t="s">
        <v>43</v>
      </c>
      <c r="Q13" s="43" t="s">
        <v>44</v>
      </c>
      <c r="R13" s="43" t="s">
        <v>45</v>
      </c>
      <c r="S13" s="43" t="s">
        <v>46</v>
      </c>
      <c r="T13" s="43" t="s">
        <v>47</v>
      </c>
      <c r="U13" s="43" t="s">
        <v>48</v>
      </c>
      <c r="V13" s="43" t="s">
        <v>49</v>
      </c>
      <c r="W13" s="43" t="s">
        <v>50</v>
      </c>
      <c r="X13" s="43" t="s">
        <v>51</v>
      </c>
      <c r="Y13" s="43" t="s">
        <v>52</v>
      </c>
      <c r="Z13" s="43" t="s">
        <v>53</v>
      </c>
      <c r="AA13" s="43" t="s">
        <v>159</v>
      </c>
      <c r="AB13" s="43" t="s">
        <v>76</v>
      </c>
    </row>
    <row r="14" spans="1:38" ht="14.25" x14ac:dyDescent="0.2">
      <c r="A14" s="18"/>
      <c r="B14" s="21" t="s">
        <v>7</v>
      </c>
      <c r="C14" s="20" t="s">
        <v>23</v>
      </c>
      <c r="D14" s="17">
        <f>SUM(D10:D13)</f>
        <v>190.83840000000001</v>
      </c>
      <c r="E14" s="17">
        <f t="shared" ref="E14:H14" si="6">SUM(E10:E13)</f>
        <v>214.27648851346871</v>
      </c>
      <c r="F14" s="17">
        <f t="shared" si="6"/>
        <v>265.7465108711732</v>
      </c>
      <c r="G14" s="17">
        <f t="shared" si="6"/>
        <v>298.6690673511261</v>
      </c>
      <c r="H14" s="17">
        <f t="shared" si="6"/>
        <v>357.14928533531486</v>
      </c>
      <c r="I14" s="14"/>
      <c r="M14" s="79">
        <v>1</v>
      </c>
      <c r="N14" s="42" t="s">
        <v>71</v>
      </c>
      <c r="O14" s="42">
        <v>31</v>
      </c>
      <c r="P14" s="42">
        <v>28</v>
      </c>
      <c r="Q14" s="42">
        <v>31</v>
      </c>
      <c r="R14" s="42">
        <v>30</v>
      </c>
      <c r="S14" s="42">
        <v>31</v>
      </c>
      <c r="T14" s="42">
        <v>30</v>
      </c>
      <c r="U14" s="42">
        <v>31</v>
      </c>
      <c r="V14" s="42">
        <v>31</v>
      </c>
      <c r="W14" s="42">
        <v>30</v>
      </c>
      <c r="X14" s="42">
        <v>31</v>
      </c>
      <c r="Y14" s="42">
        <v>30</v>
      </c>
      <c r="Z14" s="42">
        <v>31</v>
      </c>
      <c r="AA14" s="42"/>
      <c r="AB14" s="42"/>
    </row>
    <row r="15" spans="1:38" ht="14.25" x14ac:dyDescent="0.2">
      <c r="A15" s="18">
        <v>2.5</v>
      </c>
      <c r="B15" s="16" t="s">
        <v>41</v>
      </c>
      <c r="C15" s="20" t="s">
        <v>23</v>
      </c>
      <c r="D15" s="17">
        <f>D14*10%</f>
        <v>19.083840000000002</v>
      </c>
      <c r="E15" s="17">
        <f t="shared" ref="E15:H15" si="7">E14*10%</f>
        <v>21.427648851346873</v>
      </c>
      <c r="F15" s="17">
        <f t="shared" si="7"/>
        <v>26.574651087117321</v>
      </c>
      <c r="G15" s="17">
        <f t="shared" si="7"/>
        <v>29.866906735112611</v>
      </c>
      <c r="H15" s="17">
        <f t="shared" si="7"/>
        <v>35.714928533531484</v>
      </c>
      <c r="I15" s="14"/>
      <c r="K15" s="14"/>
      <c r="L15" s="14"/>
      <c r="M15" s="79">
        <v>2</v>
      </c>
      <c r="N15" s="42" t="s">
        <v>39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38" ht="14.25" x14ac:dyDescent="0.2">
      <c r="A16" s="18"/>
      <c r="B16" s="21" t="s">
        <v>8</v>
      </c>
      <c r="C16" s="20" t="s">
        <v>23</v>
      </c>
      <c r="D16" s="17">
        <f>SUM(D15,D14)</f>
        <v>209.92224000000002</v>
      </c>
      <c r="E16" s="17">
        <f t="shared" ref="E16:H16" si="8">SUM(E15,E14)</f>
        <v>235.70413736481558</v>
      </c>
      <c r="F16" s="17">
        <f t="shared" si="8"/>
        <v>292.32116195829053</v>
      </c>
      <c r="G16" s="17">
        <f t="shared" si="8"/>
        <v>328.5359740862387</v>
      </c>
      <c r="H16" s="17">
        <f t="shared" si="8"/>
        <v>392.86421386884632</v>
      </c>
      <c r="I16" s="14"/>
      <c r="K16" s="14"/>
      <c r="L16" s="14"/>
      <c r="M16" s="54">
        <v>2.1</v>
      </c>
      <c r="N16" s="42" t="s">
        <v>260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30" ht="15" x14ac:dyDescent="0.25">
      <c r="A17" s="14"/>
      <c r="B17" s="16"/>
      <c r="C17" s="20" t="s">
        <v>10</v>
      </c>
      <c r="D17" s="39">
        <f t="shared" ref="D17:H17" si="9">D16*1000/24/3600</f>
        <v>2.4296555555555557</v>
      </c>
      <c r="E17" s="39">
        <f t="shared" si="9"/>
        <v>2.7280571454261064</v>
      </c>
      <c r="F17" s="39">
        <f t="shared" si="9"/>
        <v>3.3833467819246592</v>
      </c>
      <c r="G17" s="39">
        <f t="shared" si="9"/>
        <v>3.8024997000722074</v>
      </c>
      <c r="H17" s="39">
        <f t="shared" si="9"/>
        <v>4.5470395123709064</v>
      </c>
      <c r="I17" s="14"/>
      <c r="J17" s="14"/>
      <c r="K17" s="14"/>
      <c r="L17" s="14"/>
      <c r="M17" s="54">
        <v>2.2000000000000002</v>
      </c>
      <c r="N17" s="42" t="s">
        <v>40</v>
      </c>
      <c r="O17" s="42"/>
      <c r="P17" s="42" t="s">
        <v>0</v>
      </c>
      <c r="Q17" s="42" t="s">
        <v>0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30" ht="15" x14ac:dyDescent="0.25">
      <c r="A18" s="18">
        <v>2.7</v>
      </c>
      <c r="B18" s="16" t="s">
        <v>11</v>
      </c>
      <c r="C18" s="20" t="s">
        <v>12</v>
      </c>
      <c r="D18" s="34">
        <f>D16*1000/D8</f>
        <v>19.909165402124433</v>
      </c>
      <c r="E18" s="34">
        <f t="shared" ref="E18:H18" si="10">E16*1000/E8</f>
        <v>19.986900152425665</v>
      </c>
      <c r="F18" s="34">
        <f t="shared" si="10"/>
        <v>22.159374029148132</v>
      </c>
      <c r="G18" s="34">
        <f t="shared" si="10"/>
        <v>22.260485296600653</v>
      </c>
      <c r="H18" s="34">
        <f t="shared" si="10"/>
        <v>23.789440775648785</v>
      </c>
      <c r="I18" s="14"/>
      <c r="J18" s="14"/>
      <c r="K18" s="14"/>
      <c r="L18" s="14"/>
      <c r="M18" s="54">
        <v>2.2999999999999998</v>
      </c>
      <c r="N18" s="42" t="s">
        <v>18</v>
      </c>
      <c r="O18" s="42"/>
      <c r="P18" s="42"/>
      <c r="Q18" s="42" t="s">
        <v>0</v>
      </c>
      <c r="R18" s="42" t="s">
        <v>0</v>
      </c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30" x14ac:dyDescent="0.2">
      <c r="A19" s="22">
        <v>2.8</v>
      </c>
      <c r="B19" s="16" t="s">
        <v>13</v>
      </c>
      <c r="C19" s="20"/>
      <c r="D19" s="23">
        <v>1.25</v>
      </c>
      <c r="E19" s="23">
        <v>1.25</v>
      </c>
      <c r="F19" s="23">
        <v>1.2</v>
      </c>
      <c r="G19" s="23">
        <v>1.2</v>
      </c>
      <c r="H19" s="23">
        <v>1.2</v>
      </c>
      <c r="I19" s="14"/>
      <c r="J19" s="14"/>
      <c r="K19" s="14"/>
      <c r="L19" s="14"/>
      <c r="M19" s="54">
        <v>2.4</v>
      </c>
      <c r="N19" s="16" t="s">
        <v>57</v>
      </c>
      <c r="O19" s="42"/>
      <c r="P19" s="42"/>
      <c r="Q19" s="42"/>
      <c r="R19" s="42" t="s">
        <v>0</v>
      </c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30" ht="15" x14ac:dyDescent="0.25">
      <c r="A20" s="18">
        <v>2.9</v>
      </c>
      <c r="B20" s="16" t="s">
        <v>15</v>
      </c>
      <c r="C20" s="20" t="s">
        <v>23</v>
      </c>
      <c r="D20" s="40">
        <f>D19*D16</f>
        <v>262.40280000000001</v>
      </c>
      <c r="E20" s="40">
        <f t="shared" ref="E20:H20" si="11">E19*E16</f>
        <v>294.6301717060195</v>
      </c>
      <c r="F20" s="40">
        <f t="shared" si="11"/>
        <v>350.7853943499486</v>
      </c>
      <c r="G20" s="40">
        <f t="shared" si="11"/>
        <v>394.24316890348643</v>
      </c>
      <c r="H20" s="40">
        <f t="shared" si="11"/>
        <v>471.43705664261557</v>
      </c>
      <c r="I20" s="14"/>
      <c r="J20" s="14"/>
      <c r="K20" s="14"/>
      <c r="L20" s="14"/>
      <c r="M20" s="204" t="s">
        <v>236</v>
      </c>
      <c r="N20" s="204"/>
      <c r="O20" s="78">
        <f t="shared" ref="O20:Z20" si="12">$H$23*O14*24*3600/1000/1000000</f>
        <v>2.4844732885065841E-2</v>
      </c>
      <c r="P20" s="78">
        <f t="shared" si="12"/>
        <v>2.2440403896188506E-2</v>
      </c>
      <c r="Q20" s="78">
        <f t="shared" si="12"/>
        <v>2.4844732885065841E-2</v>
      </c>
      <c r="R20" s="78">
        <f t="shared" si="12"/>
        <v>2.4043289888773394E-2</v>
      </c>
      <c r="S20" s="78">
        <f t="shared" si="12"/>
        <v>2.4844732885065841E-2</v>
      </c>
      <c r="T20" s="78">
        <f t="shared" si="12"/>
        <v>2.4043289888773394E-2</v>
      </c>
      <c r="U20" s="78">
        <f t="shared" si="12"/>
        <v>2.4844732885065841E-2</v>
      </c>
      <c r="V20" s="78">
        <f t="shared" si="12"/>
        <v>2.4844732885065841E-2</v>
      </c>
      <c r="W20" s="78">
        <f t="shared" si="12"/>
        <v>2.4043289888773394E-2</v>
      </c>
      <c r="X20" s="78">
        <f t="shared" si="12"/>
        <v>2.4844732885065841E-2</v>
      </c>
      <c r="Y20" s="78">
        <f t="shared" si="12"/>
        <v>2.4043289888773394E-2</v>
      </c>
      <c r="Z20" s="78">
        <f t="shared" si="12"/>
        <v>2.4844732885065841E-2</v>
      </c>
      <c r="AA20" s="78">
        <f t="shared" ref="AA20:AA21" si="13">AVERAGE(O20:Z20)</f>
        <v>2.4377224470561912E-2</v>
      </c>
      <c r="AB20" s="111">
        <f>SUM(O20:Z20)</f>
        <v>0.29252669364674294</v>
      </c>
    </row>
    <row r="21" spans="1:30" ht="15.75" x14ac:dyDescent="0.3">
      <c r="A21" s="24">
        <v>2.1</v>
      </c>
      <c r="B21" s="21" t="s">
        <v>16</v>
      </c>
      <c r="C21" s="25" t="s">
        <v>10</v>
      </c>
      <c r="D21" s="41">
        <f t="shared" ref="D21:H21" si="14">D20*1000/24/3600</f>
        <v>3.0370694444444442</v>
      </c>
      <c r="E21" s="41">
        <f t="shared" si="14"/>
        <v>3.4100714317826331</v>
      </c>
      <c r="F21" s="41">
        <f t="shared" si="14"/>
        <v>4.0600161383095905</v>
      </c>
      <c r="G21" s="41">
        <f t="shared" si="14"/>
        <v>4.562999640086649</v>
      </c>
      <c r="H21" s="41">
        <f t="shared" si="14"/>
        <v>5.4564474148450879</v>
      </c>
      <c r="I21" s="14"/>
      <c r="J21" s="14" t="s">
        <v>21</v>
      </c>
      <c r="M21" s="79">
        <v>3</v>
      </c>
      <c r="N21" s="110" t="s">
        <v>197</v>
      </c>
      <c r="O21" s="77">
        <f>$T$10*O14*24*3600/1000/1000000</f>
        <v>0.53032319999999999</v>
      </c>
      <c r="P21" s="77">
        <f t="shared" ref="P21:Z21" si="15">$T$10*P14*24*3600/1000/1000000</f>
        <v>0.47900159999999997</v>
      </c>
      <c r="Q21" s="77">
        <f t="shared" si="15"/>
        <v>0.53032319999999999</v>
      </c>
      <c r="R21" s="77">
        <f t="shared" si="15"/>
        <v>0.51321600000000001</v>
      </c>
      <c r="S21" s="77">
        <f t="shared" si="15"/>
        <v>0.53032319999999999</v>
      </c>
      <c r="T21" s="77">
        <f t="shared" si="15"/>
        <v>0.51321600000000001</v>
      </c>
      <c r="U21" s="77">
        <f t="shared" si="15"/>
        <v>0.53032319999999999</v>
      </c>
      <c r="V21" s="77">
        <f t="shared" si="15"/>
        <v>0.53032319999999999</v>
      </c>
      <c r="W21" s="77">
        <f t="shared" si="15"/>
        <v>0.51321600000000001</v>
      </c>
      <c r="X21" s="77">
        <f t="shared" si="15"/>
        <v>0.53032319999999999</v>
      </c>
      <c r="Y21" s="77">
        <f t="shared" si="15"/>
        <v>0.51321600000000001</v>
      </c>
      <c r="Z21" s="77">
        <f t="shared" si="15"/>
        <v>0.53032319999999999</v>
      </c>
      <c r="AA21" s="77">
        <f t="shared" si="13"/>
        <v>0.52034399999999992</v>
      </c>
      <c r="AB21" s="111">
        <f t="shared" ref="AB21:AB23" si="16">SUM(O21:Z21)</f>
        <v>6.244127999999999</v>
      </c>
    </row>
    <row r="22" spans="1:30" ht="15.75" x14ac:dyDescent="0.3">
      <c r="A22" s="24">
        <v>2.11</v>
      </c>
      <c r="B22" s="16" t="s">
        <v>14</v>
      </c>
      <c r="C22" s="20"/>
      <c r="D22" s="23">
        <v>1.9</v>
      </c>
      <c r="E22" s="23">
        <v>1.9</v>
      </c>
      <c r="F22" s="23">
        <v>1.7</v>
      </c>
      <c r="G22" s="23">
        <v>1.7</v>
      </c>
      <c r="H22" s="23">
        <v>1.7</v>
      </c>
      <c r="I22" s="14"/>
      <c r="J22" s="14" t="s">
        <v>22</v>
      </c>
      <c r="M22" s="79">
        <v>4</v>
      </c>
      <c r="N22" s="80" t="s">
        <v>198</v>
      </c>
      <c r="O22" s="78">
        <f t="shared" ref="O22:AA22" si="17">O21-O20</f>
        <v>0.50547846711493416</v>
      </c>
      <c r="P22" s="78">
        <f t="shared" si="17"/>
        <v>0.45656119610381146</v>
      </c>
      <c r="Q22" s="78">
        <f t="shared" si="17"/>
        <v>0.50547846711493416</v>
      </c>
      <c r="R22" s="78">
        <f t="shared" si="17"/>
        <v>0.48917271011122659</v>
      </c>
      <c r="S22" s="78">
        <f t="shared" si="17"/>
        <v>0.50547846711493416</v>
      </c>
      <c r="T22" s="78">
        <f t="shared" si="17"/>
        <v>0.48917271011122659</v>
      </c>
      <c r="U22" s="78">
        <f t="shared" si="17"/>
        <v>0.50547846711493416</v>
      </c>
      <c r="V22" s="78">
        <f t="shared" si="17"/>
        <v>0.50547846711493416</v>
      </c>
      <c r="W22" s="78">
        <f t="shared" si="17"/>
        <v>0.48917271011122659</v>
      </c>
      <c r="X22" s="78">
        <f t="shared" si="17"/>
        <v>0.50547846711493416</v>
      </c>
      <c r="Y22" s="78">
        <f t="shared" si="17"/>
        <v>0.48917271011122659</v>
      </c>
      <c r="Z22" s="78">
        <f t="shared" si="17"/>
        <v>0.50547846711493416</v>
      </c>
      <c r="AA22" s="78">
        <f t="shared" si="17"/>
        <v>0.49596677552943802</v>
      </c>
      <c r="AB22" s="111">
        <f t="shared" si="16"/>
        <v>5.9516013063532576</v>
      </c>
    </row>
    <row r="23" spans="1:30" ht="15" x14ac:dyDescent="0.25">
      <c r="A23" s="24">
        <v>2.12</v>
      </c>
      <c r="B23" s="21" t="s">
        <v>160</v>
      </c>
      <c r="C23" s="25" t="s">
        <v>10</v>
      </c>
      <c r="D23" s="41">
        <f>D22*D21</f>
        <v>5.7704319444444439</v>
      </c>
      <c r="E23" s="41">
        <f t="shared" ref="E23:H23" si="18">E22*E21</f>
        <v>6.4791357203870028</v>
      </c>
      <c r="F23" s="41">
        <f t="shared" si="18"/>
        <v>6.9020274351263033</v>
      </c>
      <c r="G23" s="41">
        <f t="shared" si="18"/>
        <v>7.7570993881473029</v>
      </c>
      <c r="H23" s="172">
        <f t="shared" si="18"/>
        <v>9.2759606052366497</v>
      </c>
      <c r="I23" s="14"/>
      <c r="J23" s="14" t="s">
        <v>9</v>
      </c>
      <c r="M23" s="79">
        <v>5</v>
      </c>
      <c r="N23" s="110" t="s">
        <v>199</v>
      </c>
      <c r="O23" s="77">
        <f>O22*$T$11</f>
        <v>0.37910885033620062</v>
      </c>
      <c r="P23" s="77">
        <f t="shared" ref="P23:AA23" si="19">P22*$T$11</f>
        <v>0.34242089707785861</v>
      </c>
      <c r="Q23" s="77">
        <f t="shared" si="19"/>
        <v>0.37910885033620062</v>
      </c>
      <c r="R23" s="77">
        <f t="shared" si="19"/>
        <v>0.36687953258341993</v>
      </c>
      <c r="S23" s="77">
        <f t="shared" si="19"/>
        <v>0.37910885033620062</v>
      </c>
      <c r="T23" s="77">
        <f t="shared" si="19"/>
        <v>0.36687953258341993</v>
      </c>
      <c r="U23" s="77">
        <f t="shared" si="19"/>
        <v>0.37910885033620062</v>
      </c>
      <c r="V23" s="77">
        <f t="shared" si="19"/>
        <v>0.37910885033620062</v>
      </c>
      <c r="W23" s="77">
        <f t="shared" si="19"/>
        <v>0.36687953258341993</v>
      </c>
      <c r="X23" s="77">
        <f t="shared" si="19"/>
        <v>0.37910885033620062</v>
      </c>
      <c r="Y23" s="77">
        <f t="shared" si="19"/>
        <v>0.36687953258341993</v>
      </c>
      <c r="Z23" s="77">
        <f t="shared" si="19"/>
        <v>0.37910885033620062</v>
      </c>
      <c r="AA23" s="77">
        <f t="shared" si="19"/>
        <v>0.37197508164707849</v>
      </c>
      <c r="AB23" s="111">
        <f t="shared" si="16"/>
        <v>4.4637009797649423</v>
      </c>
    </row>
    <row r="24" spans="1:30" x14ac:dyDescent="0.2">
      <c r="A24" s="26"/>
      <c r="B24" s="27"/>
      <c r="C24" s="28"/>
      <c r="D24" s="29"/>
      <c r="E24" s="29"/>
      <c r="F24" s="29"/>
      <c r="G24" s="29"/>
      <c r="H24" s="29"/>
      <c r="I24" s="14"/>
      <c r="M24" s="79">
        <v>6</v>
      </c>
      <c r="N24" s="110" t="s">
        <v>154</v>
      </c>
      <c r="O24" s="54">
        <f>O23*1000/31/24/3600*1000000</f>
        <v>141.54302954607255</v>
      </c>
      <c r="P24" s="54">
        <f t="shared" ref="P24:Z24" si="20">P23*1000/31/24/3600*1000000</f>
        <v>127.84531700935582</v>
      </c>
      <c r="Q24" s="54">
        <f t="shared" si="20"/>
        <v>141.54302954607255</v>
      </c>
      <c r="R24" s="54">
        <f t="shared" si="20"/>
        <v>136.97712536716693</v>
      </c>
      <c r="S24" s="54">
        <f t="shared" si="20"/>
        <v>141.54302954607255</v>
      </c>
      <c r="T24" s="54">
        <f t="shared" si="20"/>
        <v>136.97712536716693</v>
      </c>
      <c r="U24" s="54">
        <f t="shared" si="20"/>
        <v>141.54302954607255</v>
      </c>
      <c r="V24" s="54">
        <f t="shared" si="20"/>
        <v>141.54302954607255</v>
      </c>
      <c r="W24" s="54">
        <f t="shared" si="20"/>
        <v>136.97712536716693</v>
      </c>
      <c r="X24" s="54">
        <f t="shared" si="20"/>
        <v>141.54302954607255</v>
      </c>
      <c r="Y24" s="54">
        <f t="shared" si="20"/>
        <v>136.97712536716693</v>
      </c>
      <c r="Z24" s="54">
        <f t="shared" si="20"/>
        <v>141.54302954607255</v>
      </c>
      <c r="AA24" s="54">
        <f>AVERAGE(O24:Z24)</f>
        <v>138.87958544171099</v>
      </c>
      <c r="AB24" s="96">
        <f>AB23*1000000/3600/24/365</f>
        <v>0.14154302954607251</v>
      </c>
    </row>
    <row r="25" spans="1:30" x14ac:dyDescent="0.2">
      <c r="B25" s="3" t="s">
        <v>17</v>
      </c>
      <c r="M25" s="79">
        <v>7</v>
      </c>
      <c r="N25" s="110" t="s">
        <v>200</v>
      </c>
      <c r="O25" s="177">
        <v>0.56999999999999995</v>
      </c>
      <c r="P25" s="177">
        <v>0.65100000000000002</v>
      </c>
      <c r="Q25" s="177">
        <v>0.31</v>
      </c>
      <c r="R25" s="177">
        <v>0.03</v>
      </c>
      <c r="S25" s="177">
        <v>0.02</v>
      </c>
      <c r="T25" s="177">
        <v>0.1</v>
      </c>
      <c r="U25" s="177">
        <v>0.3</v>
      </c>
      <c r="V25" s="177">
        <v>0.42</v>
      </c>
      <c r="W25" s="177">
        <v>0.23</v>
      </c>
      <c r="X25" s="177">
        <v>0.04</v>
      </c>
      <c r="Y25" s="177">
        <v>0.1</v>
      </c>
      <c r="Z25" s="177">
        <v>0.32</v>
      </c>
      <c r="AA25" s="110"/>
      <c r="AB25" s="110"/>
    </row>
    <row r="26" spans="1:30" x14ac:dyDescent="0.2">
      <c r="B26" s="6" t="s">
        <v>24</v>
      </c>
      <c r="M26" s="79">
        <v>8</v>
      </c>
      <c r="N26" s="136" t="s">
        <v>201</v>
      </c>
      <c r="O26" s="165">
        <v>100</v>
      </c>
      <c r="P26" s="165">
        <v>100</v>
      </c>
      <c r="Q26" s="165">
        <v>100</v>
      </c>
      <c r="R26" s="165">
        <v>7</v>
      </c>
      <c r="S26" s="165">
        <v>7</v>
      </c>
      <c r="T26" s="165">
        <v>100</v>
      </c>
      <c r="U26" s="165">
        <v>100</v>
      </c>
      <c r="V26" s="165">
        <v>100</v>
      </c>
      <c r="W26" s="165">
        <v>100</v>
      </c>
      <c r="X26" s="165">
        <v>87</v>
      </c>
      <c r="Y26" s="165">
        <v>100</v>
      </c>
      <c r="Z26" s="165">
        <v>100</v>
      </c>
      <c r="AA26" s="110"/>
      <c r="AB26" s="110"/>
    </row>
    <row r="27" spans="1:30" x14ac:dyDescent="0.2">
      <c r="B27" s="6" t="s">
        <v>20</v>
      </c>
      <c r="M27" s="79">
        <v>9</v>
      </c>
      <c r="N27" s="110" t="s">
        <v>262</v>
      </c>
      <c r="O27" s="118">
        <f>$AJ$8*O26/100</f>
        <v>201.93533770634002</v>
      </c>
      <c r="P27" s="118">
        <f t="shared" ref="P27:Z27" si="21">$AJ$8*P26/100</f>
        <v>201.93533770634002</v>
      </c>
      <c r="Q27" s="118">
        <f t="shared" si="21"/>
        <v>201.93533770634002</v>
      </c>
      <c r="R27" s="118">
        <f t="shared" si="21"/>
        <v>14.1354736394438</v>
      </c>
      <c r="S27" s="118">
        <f t="shared" si="21"/>
        <v>14.1354736394438</v>
      </c>
      <c r="T27" s="118">
        <f t="shared" si="21"/>
        <v>201.93533770634002</v>
      </c>
      <c r="U27" s="118">
        <f t="shared" si="21"/>
        <v>201.93533770634002</v>
      </c>
      <c r="V27" s="118">
        <f t="shared" si="21"/>
        <v>201.93533770634002</v>
      </c>
      <c r="W27" s="118">
        <f t="shared" si="21"/>
        <v>201.93533770634002</v>
      </c>
      <c r="X27" s="118">
        <f t="shared" si="21"/>
        <v>175.68374380451584</v>
      </c>
      <c r="Y27" s="118">
        <f t="shared" si="21"/>
        <v>201.93533770634002</v>
      </c>
      <c r="Z27" s="118">
        <f t="shared" si="21"/>
        <v>201.93533770634002</v>
      </c>
      <c r="AA27" s="110"/>
      <c r="AB27" s="110"/>
    </row>
    <row r="28" spans="1:30" ht="14.25" x14ac:dyDescent="0.2">
      <c r="B28" s="5" t="s">
        <v>36</v>
      </c>
      <c r="M28" s="79">
        <v>10</v>
      </c>
      <c r="N28" s="110" t="s">
        <v>188</v>
      </c>
      <c r="O28" s="109">
        <f>O27/1000*O25</f>
        <v>0.11510314249261382</v>
      </c>
      <c r="P28" s="109">
        <f t="shared" ref="P28:Z28" si="22">P27/1000*P25</f>
        <v>0.13145990484682737</v>
      </c>
      <c r="Q28" s="109">
        <f t="shared" si="22"/>
        <v>6.2599954688965412E-2</v>
      </c>
      <c r="R28" s="127">
        <f t="shared" si="22"/>
        <v>4.2406420918331399E-4</v>
      </c>
      <c r="S28" s="127">
        <f t="shared" si="22"/>
        <v>2.8270947278887605E-4</v>
      </c>
      <c r="T28" s="109">
        <f t="shared" si="22"/>
        <v>2.0193533770634004E-2</v>
      </c>
      <c r="U28" s="109">
        <f t="shared" si="22"/>
        <v>6.0580601311902009E-2</v>
      </c>
      <c r="V28" s="109">
        <f t="shared" si="22"/>
        <v>8.4812841836662808E-2</v>
      </c>
      <c r="W28" s="109">
        <f t="shared" si="22"/>
        <v>4.644512767245821E-2</v>
      </c>
      <c r="X28" s="109">
        <f t="shared" si="22"/>
        <v>7.0273497521806342E-3</v>
      </c>
      <c r="Y28" s="109">
        <f t="shared" si="22"/>
        <v>2.0193533770634004E-2</v>
      </c>
      <c r="Z28" s="109">
        <f t="shared" si="22"/>
        <v>6.4619308066028808E-2</v>
      </c>
      <c r="AA28" s="110"/>
      <c r="AB28" s="110"/>
    </row>
    <row r="29" spans="1:30" x14ac:dyDescent="0.2">
      <c r="B29" s="6" t="s">
        <v>37</v>
      </c>
      <c r="M29" s="79">
        <v>11</v>
      </c>
      <c r="N29" s="80" t="s">
        <v>196</v>
      </c>
      <c r="O29" s="114">
        <f>O20+(O28*O14*24*3600/1000000)</f>
        <v>0.33313698973728267</v>
      </c>
      <c r="P29" s="115">
        <f t="shared" ref="P29:Z29" si="23">P20+(P28*P14*24*3600/1000000)</f>
        <v>0.34046820570163333</v>
      </c>
      <c r="Q29" s="114">
        <f t="shared" si="23"/>
        <v>0.19251245152399077</v>
      </c>
      <c r="R29" s="114">
        <f t="shared" si="23"/>
        <v>2.5142464318976543E-2</v>
      </c>
      <c r="S29" s="114">
        <f t="shared" si="23"/>
        <v>2.5601941936983567E-2</v>
      </c>
      <c r="T29" s="114">
        <f t="shared" si="23"/>
        <v>7.6384929422256734E-2</v>
      </c>
      <c r="U29" s="114">
        <f t="shared" si="23"/>
        <v>0.1871038154388642</v>
      </c>
      <c r="V29" s="114">
        <f t="shared" si="23"/>
        <v>0.25200744846038353</v>
      </c>
      <c r="W29" s="114">
        <f t="shared" si="23"/>
        <v>0.14442906081578508</v>
      </c>
      <c r="X29" s="114">
        <f t="shared" si="23"/>
        <v>4.366678646130645E-2</v>
      </c>
      <c r="Y29" s="114">
        <f t="shared" si="23"/>
        <v>7.6384929422256734E-2</v>
      </c>
      <c r="Z29" s="114">
        <f t="shared" si="23"/>
        <v>0.19792108760911742</v>
      </c>
      <c r="AA29" s="110"/>
      <c r="AB29" s="111">
        <f>SUM(O29:Z29)</f>
        <v>1.894760110848837</v>
      </c>
    </row>
    <row r="30" spans="1:30" x14ac:dyDescent="0.2">
      <c r="B30" s="128" t="s">
        <v>38</v>
      </c>
      <c r="M30" s="79">
        <v>12</v>
      </c>
      <c r="N30" s="80" t="s">
        <v>264</v>
      </c>
      <c r="O30" s="173">
        <f t="shared" ref="O30:Z30" si="24">O23-O29</f>
        <v>4.5971860598917946E-2</v>
      </c>
      <c r="P30" s="173">
        <f t="shared" si="24"/>
        <v>1.9526913762252796E-3</v>
      </c>
      <c r="Q30" s="173">
        <f t="shared" si="24"/>
        <v>0.18659639881220985</v>
      </c>
      <c r="R30" s="173">
        <f t="shared" si="24"/>
        <v>0.34173706826444339</v>
      </c>
      <c r="S30" s="173">
        <f t="shared" si="24"/>
        <v>0.35350690839921706</v>
      </c>
      <c r="T30" s="173">
        <f t="shared" si="24"/>
        <v>0.29049460316116321</v>
      </c>
      <c r="U30" s="173">
        <f t="shared" si="24"/>
        <v>0.19200503489733642</v>
      </c>
      <c r="V30" s="173">
        <f t="shared" si="24"/>
        <v>0.12710140187581709</v>
      </c>
      <c r="W30" s="173">
        <f t="shared" si="24"/>
        <v>0.22245047176763486</v>
      </c>
      <c r="X30" s="173">
        <f t="shared" si="24"/>
        <v>0.33544206387489417</v>
      </c>
      <c r="Y30" s="173">
        <f t="shared" si="24"/>
        <v>0.29049460316116321</v>
      </c>
      <c r="Z30" s="173">
        <f t="shared" si="24"/>
        <v>0.1811877627270832</v>
      </c>
      <c r="AA30" s="173"/>
      <c r="AB30" s="173">
        <f>SUM(O30:Z30)</f>
        <v>2.5689408689161053</v>
      </c>
      <c r="AD30" s="6" t="s">
        <v>0</v>
      </c>
    </row>
    <row r="31" spans="1:30" x14ac:dyDescent="0.2">
      <c r="B31" s="128" t="s">
        <v>152</v>
      </c>
    </row>
  </sheetData>
  <mergeCells count="6">
    <mergeCell ref="AL4:AL5"/>
    <mergeCell ref="M20:N20"/>
    <mergeCell ref="AD4:AD5"/>
    <mergeCell ref="AE4:AE5"/>
    <mergeCell ref="AF4:AJ4"/>
    <mergeCell ref="AK4:AK5"/>
  </mergeCells>
  <pageMargins left="0.7" right="0.7" top="0.75" bottom="0.75" header="0.3" footer="0.3"/>
  <pageSetup orientation="portrait" r:id="rId1"/>
  <ignoredErrors>
    <ignoredError sqref="AH6:AH7" formulaRange="1"/>
  </ignoredErrors>
  <drawing r:id="rId2"/>
  <legacyDrawing r:id="rId3"/>
  <oleObjects>
    <mc:AlternateContent xmlns:mc="http://schemas.openxmlformats.org/markup-compatibility/2006">
      <mc:Choice Requires="x14">
        <oleObject progId="Equation.3" shapeId="8193" r:id="rId4">
          <objectPr defaultSize="0" autoPict="0" r:id="rId5">
            <anchor moveWithCells="1" sizeWithCells="1">
              <from>
                <xdr:col>9</xdr:col>
                <xdr:colOff>0</xdr:colOff>
                <xdr:row>17</xdr:row>
                <xdr:rowOff>85725</xdr:rowOff>
              </from>
              <to>
                <xdr:col>11</xdr:col>
                <xdr:colOff>219075</xdr:colOff>
                <xdr:row>19</xdr:row>
                <xdr:rowOff>142875</xdr:rowOff>
              </to>
            </anchor>
          </objectPr>
        </oleObject>
      </mc:Choice>
      <mc:Fallback>
        <oleObject progId="Equation.3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B7" zoomScaleNormal="100" workbookViewId="0">
      <selection activeCell="P26" sqref="P26"/>
    </sheetView>
  </sheetViews>
  <sheetFormatPr defaultRowHeight="15" x14ac:dyDescent="0.25"/>
  <cols>
    <col min="1" max="1" width="56" customWidth="1"/>
    <col min="2" max="2" width="8.140625" customWidth="1"/>
    <col min="3" max="3" width="14.42578125" customWidth="1"/>
    <col min="4" max="4" width="8.140625" bestFit="1" customWidth="1"/>
    <col min="5" max="5" width="10.5703125" bestFit="1" customWidth="1"/>
    <col min="6" max="6" width="9.7109375" bestFit="1" customWidth="1"/>
    <col min="7" max="7" width="7" bestFit="1" customWidth="1"/>
    <col min="8" max="10" width="7.140625" bestFit="1" customWidth="1"/>
    <col min="11" max="11" width="6.85546875" customWidth="1"/>
    <col min="12" max="12" width="7" bestFit="1" customWidth="1"/>
    <col min="13" max="13" width="7.140625" bestFit="1" customWidth="1"/>
    <col min="14" max="14" width="4.42578125" bestFit="1" customWidth="1"/>
    <col min="15" max="15" width="8.5703125" bestFit="1" customWidth="1"/>
    <col min="16" max="16" width="9.5703125" bestFit="1" customWidth="1"/>
  </cols>
  <sheetData>
    <row r="1" spans="1:19" s="1" customFormat="1" x14ac:dyDescent="0.25">
      <c r="B1" s="167"/>
      <c r="C1" s="6" t="s">
        <v>232</v>
      </c>
      <c r="H1" s="129"/>
    </row>
    <row r="2" spans="1:19" ht="15.75" thickBot="1" x14ac:dyDescent="0.3">
      <c r="A2" s="6" t="s">
        <v>208</v>
      </c>
      <c r="B2" s="168"/>
      <c r="C2" s="6" t="s">
        <v>231</v>
      </c>
      <c r="D2" s="6"/>
      <c r="E2" s="6"/>
      <c r="F2" s="6"/>
      <c r="H2" s="6"/>
      <c r="I2" s="6"/>
      <c r="J2" s="6"/>
      <c r="K2" s="6"/>
      <c r="L2" s="6"/>
      <c r="M2" s="6"/>
      <c r="N2" s="6"/>
      <c r="O2" s="6"/>
    </row>
    <row r="3" spans="1:19" ht="15.75" thickBot="1" x14ac:dyDescent="0.3">
      <c r="A3" s="179" t="s">
        <v>1</v>
      </c>
      <c r="B3" s="180" t="s">
        <v>42</v>
      </c>
      <c r="C3" s="180" t="s">
        <v>43</v>
      </c>
      <c r="D3" s="180" t="s">
        <v>44</v>
      </c>
      <c r="E3" s="180" t="s">
        <v>45</v>
      </c>
      <c r="F3" s="180" t="s">
        <v>46</v>
      </c>
      <c r="G3" s="180" t="s">
        <v>47</v>
      </c>
      <c r="H3" s="180" t="s">
        <v>48</v>
      </c>
      <c r="I3" s="180" t="s">
        <v>49</v>
      </c>
      <c r="J3" s="180" t="s">
        <v>50</v>
      </c>
      <c r="K3" s="180" t="s">
        <v>51</v>
      </c>
      <c r="L3" s="180" t="s">
        <v>52</v>
      </c>
      <c r="M3" s="181" t="s">
        <v>53</v>
      </c>
      <c r="N3" s="1"/>
      <c r="O3" s="1"/>
    </row>
    <row r="4" spans="1:19" x14ac:dyDescent="0.25">
      <c r="A4" s="182" t="s">
        <v>71</v>
      </c>
      <c r="B4" s="183">
        <v>31</v>
      </c>
      <c r="C4" s="183">
        <v>28</v>
      </c>
      <c r="D4" s="183">
        <v>31</v>
      </c>
      <c r="E4" s="183">
        <v>30</v>
      </c>
      <c r="F4" s="183">
        <v>31</v>
      </c>
      <c r="G4" s="183">
        <v>30</v>
      </c>
      <c r="H4" s="183">
        <v>31</v>
      </c>
      <c r="I4" s="183">
        <v>31</v>
      </c>
      <c r="J4" s="183">
        <v>30</v>
      </c>
      <c r="K4" s="183">
        <v>31</v>
      </c>
      <c r="L4" s="183">
        <v>30</v>
      </c>
      <c r="M4" s="184">
        <v>31</v>
      </c>
      <c r="N4" s="1"/>
      <c r="O4" s="1"/>
    </row>
    <row r="5" spans="1:19" x14ac:dyDescent="0.25">
      <c r="A5" s="136" t="s">
        <v>200</v>
      </c>
      <c r="B5" s="163">
        <f>WaterBudgeting!O25</f>
        <v>0.56999999999999995</v>
      </c>
      <c r="C5" s="163">
        <f>WaterBudgeting!P25</f>
        <v>0.65100000000000002</v>
      </c>
      <c r="D5" s="163">
        <f>WaterBudgeting!Q25</f>
        <v>0.31</v>
      </c>
      <c r="E5" s="163">
        <f>WaterBudgeting!R25</f>
        <v>0.03</v>
      </c>
      <c r="F5" s="163">
        <f>WaterBudgeting!S25</f>
        <v>0.02</v>
      </c>
      <c r="G5" s="163">
        <f>WaterBudgeting!T25</f>
        <v>0.1</v>
      </c>
      <c r="H5" s="163">
        <f>WaterBudgeting!U25</f>
        <v>0.3</v>
      </c>
      <c r="I5" s="163">
        <f>WaterBudgeting!V25</f>
        <v>0.42</v>
      </c>
      <c r="J5" s="163">
        <f>WaterBudgeting!W25</f>
        <v>0.23</v>
      </c>
      <c r="K5" s="163">
        <f>WaterBudgeting!X25</f>
        <v>0.04</v>
      </c>
      <c r="L5" s="163">
        <f>WaterBudgeting!Y25</f>
        <v>0.1</v>
      </c>
      <c r="M5" s="164">
        <f>WaterBudgeting!Z25</f>
        <v>0.32</v>
      </c>
      <c r="N5" s="1"/>
      <c r="O5" s="1"/>
    </row>
    <row r="6" spans="1:19" s="1" customFormat="1" x14ac:dyDescent="0.25">
      <c r="A6" s="136" t="s">
        <v>201</v>
      </c>
      <c r="B6" s="178">
        <f>WaterBudgeting!O26</f>
        <v>100</v>
      </c>
      <c r="C6" s="178">
        <f>WaterBudgeting!P26</f>
        <v>100</v>
      </c>
      <c r="D6" s="178">
        <f>WaterBudgeting!Q26</f>
        <v>100</v>
      </c>
      <c r="E6" s="178">
        <f>WaterBudgeting!R26</f>
        <v>7</v>
      </c>
      <c r="F6" s="178">
        <f>WaterBudgeting!S26</f>
        <v>7</v>
      </c>
      <c r="G6" s="178">
        <f>WaterBudgeting!T26</f>
        <v>100</v>
      </c>
      <c r="H6" s="178">
        <f>WaterBudgeting!U26</f>
        <v>100</v>
      </c>
      <c r="I6" s="178">
        <f>WaterBudgeting!V26</f>
        <v>100</v>
      </c>
      <c r="J6" s="178">
        <f>WaterBudgeting!W26</f>
        <v>100</v>
      </c>
      <c r="K6" s="178">
        <f>WaterBudgeting!X26</f>
        <v>87</v>
      </c>
      <c r="L6" s="178">
        <f>WaterBudgeting!Y26</f>
        <v>100</v>
      </c>
      <c r="M6" s="185">
        <f>WaterBudgeting!Z26</f>
        <v>100</v>
      </c>
    </row>
    <row r="7" spans="1:19" s="1" customFormat="1" x14ac:dyDescent="0.25">
      <c r="A7" s="136" t="s">
        <v>202</v>
      </c>
      <c r="B7" s="118">
        <f>WaterBudgeting!$AJ$8*B6/100</f>
        <v>201.93533770634002</v>
      </c>
      <c r="C7" s="118">
        <f>WaterBudgeting!$AJ$8*C6/100</f>
        <v>201.93533770634002</v>
      </c>
      <c r="D7" s="118">
        <f>WaterBudgeting!$AJ$8*D6/100</f>
        <v>201.93533770634002</v>
      </c>
      <c r="E7" s="118">
        <f>WaterBudgeting!$AJ$8*E6/100</f>
        <v>14.1354736394438</v>
      </c>
      <c r="F7" s="118">
        <f>WaterBudgeting!$AJ$8*F6/100</f>
        <v>14.1354736394438</v>
      </c>
      <c r="G7" s="118">
        <f>WaterBudgeting!$AJ$8*G6/100</f>
        <v>201.93533770634002</v>
      </c>
      <c r="H7" s="118">
        <f>WaterBudgeting!$AJ$8*H6/100</f>
        <v>201.93533770634002</v>
      </c>
      <c r="I7" s="118">
        <f>WaterBudgeting!$AJ$8*I6/100</f>
        <v>201.93533770634002</v>
      </c>
      <c r="J7" s="118">
        <f>WaterBudgeting!$AJ$8*J6/100</f>
        <v>201.93533770634002</v>
      </c>
      <c r="K7" s="118">
        <f>WaterBudgeting!$AJ$8*K6/100</f>
        <v>175.68374380451584</v>
      </c>
      <c r="L7" s="118">
        <f>WaterBudgeting!$AJ$8*L6/100</f>
        <v>201.93533770634002</v>
      </c>
      <c r="M7" s="137">
        <f>WaterBudgeting!$AJ$8*M6/100</f>
        <v>201.93533770634002</v>
      </c>
    </row>
    <row r="8" spans="1:19" s="1" customFormat="1" x14ac:dyDescent="0.25">
      <c r="A8" s="136" t="s">
        <v>204</v>
      </c>
      <c r="B8" s="109">
        <f>B7*B5</f>
        <v>115.1031424926138</v>
      </c>
      <c r="C8" s="109">
        <f t="shared" ref="C8:M8" si="0">C7*C5</f>
        <v>131.45990484682736</v>
      </c>
      <c r="D8" s="109">
        <f t="shared" si="0"/>
        <v>62.599954688965404</v>
      </c>
      <c r="E8" s="109">
        <f t="shared" si="0"/>
        <v>0.424064209183314</v>
      </c>
      <c r="F8" s="109">
        <f t="shared" si="0"/>
        <v>0.28270947278887604</v>
      </c>
      <c r="G8" s="109">
        <f t="shared" si="0"/>
        <v>20.193533770634005</v>
      </c>
      <c r="H8" s="109">
        <f t="shared" si="0"/>
        <v>60.580601311902001</v>
      </c>
      <c r="I8" s="109">
        <f t="shared" si="0"/>
        <v>84.812841836662813</v>
      </c>
      <c r="J8" s="109">
        <f t="shared" si="0"/>
        <v>46.445127672458206</v>
      </c>
      <c r="K8" s="109">
        <f t="shared" si="0"/>
        <v>7.0273497521806334</v>
      </c>
      <c r="L8" s="109">
        <f t="shared" si="0"/>
        <v>20.193533770634005</v>
      </c>
      <c r="M8" s="138">
        <f t="shared" si="0"/>
        <v>64.619308066028808</v>
      </c>
    </row>
    <row r="9" spans="1:19" ht="18" thickBot="1" x14ac:dyDescent="0.3">
      <c r="A9" s="139" t="s">
        <v>205</v>
      </c>
      <c r="B9" s="140">
        <f t="shared" ref="B9:M9" si="1">B8/1000*$B$13*3600</f>
        <v>4972.4557556809168</v>
      </c>
      <c r="C9" s="140">
        <f t="shared" si="1"/>
        <v>5679.0678893829418</v>
      </c>
      <c r="D9" s="140">
        <f t="shared" si="1"/>
        <v>2704.318042563305</v>
      </c>
      <c r="E9" s="140">
        <f t="shared" si="1"/>
        <v>18.319573836719165</v>
      </c>
      <c r="F9" s="140">
        <f t="shared" si="1"/>
        <v>12.213049224479445</v>
      </c>
      <c r="G9" s="140">
        <f t="shared" si="1"/>
        <v>872.36065889138899</v>
      </c>
      <c r="H9" s="140">
        <f t="shared" si="1"/>
        <v>2617.0819766741661</v>
      </c>
      <c r="I9" s="140">
        <f t="shared" si="1"/>
        <v>3663.9147673438333</v>
      </c>
      <c r="J9" s="140">
        <f t="shared" si="1"/>
        <v>2006.4295154501945</v>
      </c>
      <c r="K9" s="140">
        <f t="shared" si="1"/>
        <v>303.58150929420339</v>
      </c>
      <c r="L9" s="140">
        <f t="shared" si="1"/>
        <v>872.36065889138899</v>
      </c>
      <c r="M9" s="141">
        <f t="shared" si="1"/>
        <v>2791.5541084524443</v>
      </c>
      <c r="N9" s="1"/>
      <c r="O9" s="143"/>
    </row>
    <row r="10" spans="1:19" ht="15.75" thickBot="1" x14ac:dyDescent="0.3">
      <c r="A10" s="133" t="s">
        <v>207</v>
      </c>
      <c r="B10" s="134"/>
      <c r="C10" s="134"/>
      <c r="D10" s="134"/>
      <c r="G10" s="169">
        <f>MAX(B9:M9)</f>
        <v>5679.0678893829418</v>
      </c>
      <c r="H10" s="134"/>
      <c r="I10" s="134"/>
      <c r="J10" s="134"/>
      <c r="K10" s="134"/>
      <c r="L10" s="134"/>
      <c r="M10" s="135"/>
      <c r="N10" s="1"/>
      <c r="O10" s="142"/>
    </row>
    <row r="11" spans="1:19" ht="15.75" thickBot="1" x14ac:dyDescent="0.3">
      <c r="A11" s="130" t="s">
        <v>206</v>
      </c>
      <c r="B11" s="131"/>
      <c r="C11" s="131"/>
      <c r="D11" s="131"/>
      <c r="E11" s="170">
        <f>G10*1.2</f>
        <v>6814.8814672595299</v>
      </c>
      <c r="F11" s="131"/>
      <c r="G11" s="131"/>
      <c r="H11" s="131"/>
      <c r="I11" s="131"/>
      <c r="J11" s="131"/>
      <c r="K11" s="131"/>
      <c r="L11" s="131"/>
      <c r="M11" s="132"/>
      <c r="N11" s="1"/>
      <c r="O11" s="1"/>
      <c r="S11" t="s">
        <v>0</v>
      </c>
    </row>
    <row r="13" spans="1:19" s="1" customFormat="1" x14ac:dyDescent="0.25">
      <c r="A13" s="1" t="s">
        <v>230</v>
      </c>
      <c r="B13" s="166">
        <v>12</v>
      </c>
      <c r="C13" s="1" t="s">
        <v>203</v>
      </c>
    </row>
    <row r="14" spans="1:19" ht="15.75" thickBot="1" x14ac:dyDescent="0.3"/>
    <row r="15" spans="1:19" ht="15.75" thickBot="1" x14ac:dyDescent="0.3">
      <c r="A15" s="153" t="s">
        <v>1</v>
      </c>
      <c r="B15" s="154" t="s">
        <v>218</v>
      </c>
      <c r="C15" s="155" t="s">
        <v>219</v>
      </c>
    </row>
    <row r="16" spans="1:19" ht="15.75" x14ac:dyDescent="0.25">
      <c r="A16" s="152" t="s">
        <v>225</v>
      </c>
      <c r="B16" s="192">
        <f>G10</f>
        <v>5679.0678893829418</v>
      </c>
      <c r="C16" s="206" t="s">
        <v>227</v>
      </c>
    </row>
    <row r="17" spans="1:7" s="1" customFormat="1" ht="17.25" customHeight="1" x14ac:dyDescent="0.25">
      <c r="A17" s="197" t="s">
        <v>263</v>
      </c>
      <c r="B17" s="192">
        <f>E11</f>
        <v>6814.8814672595299</v>
      </c>
      <c r="C17" s="207"/>
    </row>
    <row r="18" spans="1:7" s="1" customFormat="1" ht="15.75" x14ac:dyDescent="0.25">
      <c r="A18" s="159" t="s">
        <v>253</v>
      </c>
      <c r="B18" s="192">
        <f>B17-B16</f>
        <v>1135.8135778765882</v>
      </c>
      <c r="C18" s="191"/>
    </row>
    <row r="19" spans="1:7" x14ac:dyDescent="0.25">
      <c r="A19" s="147" t="s">
        <v>250</v>
      </c>
      <c r="B19" s="97">
        <v>2.1</v>
      </c>
      <c r="C19" s="148"/>
    </row>
    <row r="20" spans="1:7" x14ac:dyDescent="0.25">
      <c r="A20" s="149" t="s">
        <v>249</v>
      </c>
      <c r="B20" s="144">
        <v>0.2</v>
      </c>
      <c r="C20" s="160"/>
    </row>
    <row r="21" spans="1:7" x14ac:dyDescent="0.25">
      <c r="A21" s="147" t="s">
        <v>251</v>
      </c>
      <c r="B21" s="144">
        <v>0.8</v>
      </c>
      <c r="C21" s="160" t="s">
        <v>265</v>
      </c>
    </row>
    <row r="22" spans="1:7" x14ac:dyDescent="0.25">
      <c r="A22" s="149" t="s">
        <v>252</v>
      </c>
      <c r="B22" s="145">
        <f>SUM(B19:B21)</f>
        <v>3.1000000000000005</v>
      </c>
      <c r="C22" s="148"/>
    </row>
    <row r="23" spans="1:7" x14ac:dyDescent="0.25">
      <c r="A23" s="149" t="s">
        <v>209</v>
      </c>
      <c r="B23" s="112"/>
      <c r="C23" s="148"/>
    </row>
    <row r="24" spans="1:7" s="1" customFormat="1" x14ac:dyDescent="0.25">
      <c r="A24" s="147" t="s">
        <v>210</v>
      </c>
      <c r="B24" s="145">
        <v>2</v>
      </c>
      <c r="C24" s="148"/>
      <c r="G24" s="1" t="s">
        <v>0</v>
      </c>
    </row>
    <row r="25" spans="1:7" x14ac:dyDescent="0.25">
      <c r="A25" s="147" t="s">
        <v>211</v>
      </c>
      <c r="B25" s="145">
        <v>3</v>
      </c>
      <c r="C25" s="148"/>
    </row>
    <row r="26" spans="1:7" x14ac:dyDescent="0.25">
      <c r="A26" s="150" t="s">
        <v>215</v>
      </c>
      <c r="B26" s="145"/>
      <c r="C26" s="148"/>
    </row>
    <row r="27" spans="1:7" x14ac:dyDescent="0.25">
      <c r="A27" s="147" t="s">
        <v>212</v>
      </c>
      <c r="B27" s="162">
        <v>57</v>
      </c>
      <c r="C27" s="148" t="s">
        <v>221</v>
      </c>
    </row>
    <row r="28" spans="1:7" x14ac:dyDescent="0.25">
      <c r="A28" s="147" t="s">
        <v>213</v>
      </c>
      <c r="B28" s="162">
        <v>60</v>
      </c>
      <c r="C28" s="158" t="s">
        <v>222</v>
      </c>
    </row>
    <row r="29" spans="1:7" x14ac:dyDescent="0.25">
      <c r="A29" s="147" t="s">
        <v>245</v>
      </c>
      <c r="B29" s="145">
        <f>B27+2*B24*B22</f>
        <v>69.400000000000006</v>
      </c>
      <c r="C29" s="148"/>
    </row>
    <row r="30" spans="1:7" x14ac:dyDescent="0.25">
      <c r="A30" s="147" t="s">
        <v>244</v>
      </c>
      <c r="B30" s="145">
        <f>B28+2*B24*B22</f>
        <v>72.400000000000006</v>
      </c>
      <c r="C30" s="148"/>
      <c r="E30" s="1"/>
      <c r="F30" s="1"/>
    </row>
    <row r="31" spans="1:7" x14ac:dyDescent="0.25">
      <c r="A31" s="147" t="s">
        <v>223</v>
      </c>
      <c r="B31" s="157">
        <f>B27+2*B24*(B19+B20)</f>
        <v>66.2</v>
      </c>
      <c r="C31" s="148"/>
      <c r="E31" s="1"/>
      <c r="F31" s="1"/>
    </row>
    <row r="32" spans="1:7" x14ac:dyDescent="0.25">
      <c r="A32" s="147" t="s">
        <v>224</v>
      </c>
      <c r="B32" s="157">
        <f>B28+2*B24*(B19+B20)</f>
        <v>69.2</v>
      </c>
      <c r="C32" s="148"/>
      <c r="E32" s="1"/>
      <c r="F32" s="1"/>
    </row>
    <row r="33" spans="1:6" x14ac:dyDescent="0.25">
      <c r="A33" s="150" t="s">
        <v>214</v>
      </c>
      <c r="B33" s="112"/>
      <c r="C33" s="148"/>
      <c r="E33" s="1"/>
      <c r="F33" s="1"/>
    </row>
    <row r="34" spans="1:6" ht="15.75" x14ac:dyDescent="0.25">
      <c r="A34" s="156" t="s">
        <v>220</v>
      </c>
      <c r="B34" s="112"/>
      <c r="C34" s="148"/>
      <c r="E34" s="1"/>
      <c r="F34" s="1"/>
    </row>
    <row r="35" spans="1:6" x14ac:dyDescent="0.25">
      <c r="A35" s="147" t="s">
        <v>216</v>
      </c>
      <c r="B35" s="112"/>
      <c r="C35" s="148"/>
      <c r="E35" s="1"/>
      <c r="F35" s="1"/>
    </row>
    <row r="36" spans="1:6" x14ac:dyDescent="0.25">
      <c r="A36" s="147" t="s">
        <v>239</v>
      </c>
      <c r="B36" s="146">
        <f>B30*B29</f>
        <v>5024.5600000000004</v>
      </c>
      <c r="C36" s="148"/>
      <c r="E36" s="68"/>
    </row>
    <row r="37" spans="1:6" x14ac:dyDescent="0.25">
      <c r="A37" s="147" t="s">
        <v>240</v>
      </c>
      <c r="B37" s="146">
        <f>B28*B27</f>
        <v>3420</v>
      </c>
      <c r="C37" s="148"/>
      <c r="F37" s="186"/>
    </row>
    <row r="38" spans="1:6" ht="18" x14ac:dyDescent="0.35">
      <c r="A38" s="151" t="s">
        <v>217</v>
      </c>
      <c r="B38" s="146">
        <f>(B22/3)*(B36+B37+SQRT(B36+B37))</f>
        <v>8821.0027633275768</v>
      </c>
      <c r="C38" s="148"/>
    </row>
    <row r="39" spans="1:6" ht="15.75" x14ac:dyDescent="0.3">
      <c r="A39" s="149" t="s">
        <v>254</v>
      </c>
      <c r="B39" s="171" t="str">
        <f>IF(B38&gt;B17, "OK","Not Ok")</f>
        <v>OK</v>
      </c>
      <c r="C39" s="161" t="s">
        <v>228</v>
      </c>
    </row>
    <row r="40" spans="1:6" ht="15.75" x14ac:dyDescent="0.25">
      <c r="A40" s="147" t="s">
        <v>226</v>
      </c>
      <c r="B40" s="145">
        <v>3</v>
      </c>
      <c r="C40" s="148" t="s">
        <v>221</v>
      </c>
      <c r="F40" s="198"/>
    </row>
    <row r="41" spans="1:6" x14ac:dyDescent="0.25">
      <c r="A41" s="195" t="s">
        <v>229</v>
      </c>
      <c r="B41" s="187"/>
      <c r="C41" s="188"/>
      <c r="F41" s="198"/>
    </row>
    <row r="42" spans="1:6" s="1" customFormat="1" x14ac:dyDescent="0.25">
      <c r="A42" s="189" t="s">
        <v>241</v>
      </c>
      <c r="B42" s="112">
        <f>B27+2*B24*SUM(B19:B20)</f>
        <v>66.2</v>
      </c>
      <c r="C42" s="112"/>
      <c r="F42" s="198"/>
    </row>
    <row r="43" spans="1:6" s="1" customFormat="1" x14ac:dyDescent="0.25">
      <c r="A43" s="189" t="s">
        <v>242</v>
      </c>
      <c r="B43" s="112">
        <f>B28+2*B24*SUM(B19:B20)</f>
        <v>69.2</v>
      </c>
      <c r="C43" s="112"/>
      <c r="F43" s="198"/>
    </row>
    <row r="44" spans="1:6" ht="18" x14ac:dyDescent="0.35">
      <c r="A44" s="112" t="s">
        <v>243</v>
      </c>
      <c r="B44" s="146">
        <f>B42*B43</f>
        <v>4581.04</v>
      </c>
      <c r="C44" s="112"/>
      <c r="F44" s="198"/>
    </row>
    <row r="45" spans="1:6" ht="18" x14ac:dyDescent="0.35">
      <c r="A45" s="190" t="s">
        <v>246</v>
      </c>
      <c r="B45" s="194">
        <f>SUM(B19:B20)/3*(B44+B37+SQRT(B44+B37))</f>
        <v>6202.7078750606452</v>
      </c>
      <c r="C45" s="112" t="s">
        <v>258</v>
      </c>
      <c r="F45" s="198"/>
    </row>
    <row r="46" spans="1:6" x14ac:dyDescent="0.25">
      <c r="A46" s="189" t="s">
        <v>247</v>
      </c>
      <c r="B46" s="112">
        <f>B27+2*B24*B20</f>
        <v>57.8</v>
      </c>
      <c r="C46" s="112"/>
      <c r="F46" s="198"/>
    </row>
    <row r="47" spans="1:6" x14ac:dyDescent="0.25">
      <c r="A47" s="189" t="s">
        <v>248</v>
      </c>
      <c r="B47" s="112">
        <f>B28+2*B24*B20</f>
        <v>60.8</v>
      </c>
      <c r="C47" s="112"/>
      <c r="F47" s="198"/>
    </row>
    <row r="48" spans="1:6" ht="18" x14ac:dyDescent="0.35">
      <c r="A48" s="112" t="s">
        <v>255</v>
      </c>
      <c r="B48" s="146">
        <f>B46*B47</f>
        <v>3514.24</v>
      </c>
      <c r="C48" s="112"/>
      <c r="F48" s="5"/>
    </row>
    <row r="49" spans="1:5" ht="18" x14ac:dyDescent="0.35">
      <c r="A49" s="190" t="s">
        <v>256</v>
      </c>
      <c r="B49" s="146">
        <f>(B20/3)*(B48+B37+SQRT(B48+B37))</f>
        <v>467.83413894385984</v>
      </c>
      <c r="C49" s="112"/>
    </row>
    <row r="50" spans="1:5" ht="18" x14ac:dyDescent="0.35">
      <c r="A50" s="112" t="s">
        <v>257</v>
      </c>
      <c r="B50" s="194">
        <f>B45-B49</f>
        <v>5734.873736116785</v>
      </c>
      <c r="C50" s="112"/>
      <c r="E50" s="193"/>
    </row>
    <row r="51" spans="1:5" ht="15.75" x14ac:dyDescent="0.3">
      <c r="A51" s="149" t="s">
        <v>259</v>
      </c>
      <c r="B51" s="171" t="str">
        <f>IF(OR(B50&gt;B16,B50=B16), "OK","Not Ok")</f>
        <v>OK</v>
      </c>
      <c r="C51" s="161" t="s">
        <v>228</v>
      </c>
    </row>
  </sheetData>
  <mergeCells count="1">
    <mergeCell ref="C16:C17"/>
  </mergeCells>
  <pageMargins left="0.7" right="0.7" top="0.75" bottom="0.75" header="0.3" footer="0.3"/>
  <pageSetup orientation="portrait" horizontalDpi="1200" verticalDpi="1200" r:id="rId1"/>
  <ignoredErrors>
    <ignoredError sqref="B42:B43 B4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HydrologyData</vt:lpstr>
      <vt:lpstr>CWRData</vt:lpstr>
      <vt:lpstr>WaterBudgeting</vt:lpstr>
      <vt:lpstr>Storage req't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Abera</cp:lastModifiedBy>
  <cp:lastPrinted>2012-09-02T04:36:10Z</cp:lastPrinted>
  <dcterms:created xsi:type="dcterms:W3CDTF">2012-08-11T03:23:06Z</dcterms:created>
  <dcterms:modified xsi:type="dcterms:W3CDTF">2018-07-17T03:00:49Z</dcterms:modified>
</cp:coreProperties>
</file>