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0.Guideline-Manuals -From Abera\"/>
    </mc:Choice>
  </mc:AlternateContent>
  <bookViews>
    <workbookView xWindow="0" yWindow="0" windowWidth="20490" windowHeight="7605"/>
  </bookViews>
  <sheets>
    <sheet name="Chute + SB desig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5" i="2" l="1"/>
  <c r="AW5" i="2"/>
  <c r="AV5" i="2"/>
  <c r="AT5" i="2"/>
  <c r="AX5" i="2"/>
  <c r="AS5" i="2"/>
  <c r="AL5" i="2"/>
  <c r="L16" i="2" l="1"/>
  <c r="E11" i="2" l="1"/>
  <c r="M12" i="2" s="1"/>
  <c r="M9" i="2"/>
  <c r="L26" i="2" s="1"/>
  <c r="L28" i="2" s="1"/>
  <c r="D6" i="2"/>
  <c r="V7" i="2" s="1"/>
  <c r="AF44" i="2"/>
  <c r="AA44" i="2"/>
  <c r="AF43" i="2"/>
  <c r="AA43" i="2"/>
  <c r="AF42" i="2"/>
  <c r="AA42" i="2"/>
  <c r="AF41" i="2"/>
  <c r="AE41" i="2"/>
  <c r="AA41" i="2"/>
  <c r="Z41" i="2"/>
  <c r="C41" i="2"/>
  <c r="AF40" i="2"/>
  <c r="AE40" i="2"/>
  <c r="AD40" i="2"/>
  <c r="AA40" i="2"/>
  <c r="Z40" i="2"/>
  <c r="Y40" i="2"/>
  <c r="AD38" i="2"/>
  <c r="AA38" i="2"/>
  <c r="Y38" i="2"/>
  <c r="AD37" i="2"/>
  <c r="Y37" i="2"/>
  <c r="AD36" i="2"/>
  <c r="Y36" i="2"/>
  <c r="AD34" i="2"/>
  <c r="Y34" i="2"/>
  <c r="AD33" i="2"/>
  <c r="Y33" i="2"/>
  <c r="AD32" i="2"/>
  <c r="Y32" i="2"/>
  <c r="AD31" i="2"/>
  <c r="Y31" i="2"/>
  <c r="N31" i="2"/>
  <c r="AD30" i="2"/>
  <c r="Y30" i="2"/>
  <c r="AD29" i="2"/>
  <c r="Y29" i="2"/>
  <c r="AD28" i="2"/>
  <c r="Y28" i="2"/>
  <c r="AD27" i="2"/>
  <c r="Y27" i="2"/>
  <c r="K27" i="2"/>
  <c r="K29" i="2" s="1"/>
  <c r="AD26" i="2"/>
  <c r="Y26" i="2"/>
  <c r="AD25" i="2"/>
  <c r="Y25" i="2"/>
  <c r="AD24" i="2"/>
  <c r="Y24" i="2"/>
  <c r="AE23" i="2"/>
  <c r="Z23" i="2"/>
  <c r="U23" i="2"/>
  <c r="K22" i="2"/>
  <c r="AD21" i="2"/>
  <c r="Y21" i="2"/>
  <c r="L21" i="2"/>
  <c r="L22" i="2" s="1"/>
  <c r="AD20" i="2"/>
  <c r="Y20" i="2"/>
  <c r="AD19" i="2"/>
  <c r="Y19" i="2"/>
  <c r="AD18" i="2"/>
  <c r="Y18" i="2"/>
  <c r="AD17" i="2"/>
  <c r="Y17" i="2"/>
  <c r="AD16" i="2"/>
  <c r="Y16" i="2"/>
  <c r="AD15" i="2"/>
  <c r="Y15" i="2"/>
  <c r="AD14" i="2"/>
  <c r="Y14" i="2"/>
  <c r="AD13" i="2"/>
  <c r="Y13" i="2"/>
  <c r="AD12" i="2"/>
  <c r="Y12" i="2"/>
  <c r="AD11" i="2"/>
  <c r="Y11" i="2"/>
  <c r="N25" i="2"/>
  <c r="N27" i="2" s="1"/>
  <c r="I11" i="2"/>
  <c r="AK5" i="2" s="1"/>
  <c r="AH9" i="2"/>
  <c r="AF9" i="2"/>
  <c r="AD9" i="2"/>
  <c r="AC9" i="2"/>
  <c r="AA9" i="2"/>
  <c r="Y9" i="2"/>
  <c r="W9" i="2"/>
  <c r="U9" i="2"/>
  <c r="T9" i="2"/>
  <c r="AH8" i="2"/>
  <c r="AF8" i="2"/>
  <c r="AD8" i="2"/>
  <c r="AC8" i="2"/>
  <c r="AA8" i="2"/>
  <c r="Y8" i="2"/>
  <c r="X8" i="2"/>
  <c r="W8" i="2"/>
  <c r="V8" i="2"/>
  <c r="U8" i="2"/>
  <c r="X9" i="2"/>
  <c r="AH7" i="2"/>
  <c r="AF7" i="2"/>
  <c r="AD7" i="2"/>
  <c r="AC7" i="2"/>
  <c r="AA7" i="2"/>
  <c r="Y7" i="2"/>
  <c r="W7" i="2"/>
  <c r="U7" i="2"/>
  <c r="T7" i="2"/>
  <c r="T8" i="2"/>
  <c r="AN5" i="2"/>
  <c r="AJ5" i="2"/>
  <c r="AE4" i="2"/>
  <c r="Z4" i="2"/>
  <c r="N22" i="2"/>
  <c r="U4" i="2"/>
  <c r="AE3" i="2"/>
  <c r="Z3" i="2"/>
  <c r="J15" i="2"/>
  <c r="L25" i="2" l="1"/>
  <c r="X7" i="2"/>
  <c r="V9" i="2"/>
  <c r="K30" i="2"/>
  <c r="M25" i="2"/>
  <c r="M26" i="2" s="1"/>
  <c r="M33" i="2" s="1"/>
  <c r="M36" i="2" s="1"/>
  <c r="K33" i="2"/>
  <c r="U3" i="2"/>
  <c r="AY5" i="2"/>
  <c r="T41" i="2"/>
  <c r="E41" i="2"/>
  <c r="L30" i="2"/>
  <c r="M30" i="2" l="1"/>
  <c r="N30" i="2" s="1"/>
  <c r="N36" i="2" s="1"/>
  <c r="N37" i="2" s="1"/>
  <c r="L31" i="2"/>
  <c r="C24" i="2"/>
  <c r="T11" i="2"/>
  <c r="K34" i="2"/>
  <c r="V41" i="2"/>
  <c r="L27" i="2"/>
  <c r="E12" i="2"/>
  <c r="O30" i="2"/>
  <c r="L29" i="2" l="1"/>
  <c r="C28" i="2"/>
  <c r="T28" i="2" s="1"/>
  <c r="T24" i="2"/>
  <c r="C25" i="2"/>
  <c r="V11" i="2"/>
  <c r="M31" i="2"/>
  <c r="O31" i="2" s="1"/>
  <c r="E13" i="2"/>
  <c r="AJ11" i="2" s="1"/>
  <c r="C37" i="2"/>
  <c r="T12" i="2"/>
  <c r="K36" i="2"/>
  <c r="T37" i="2" l="1"/>
  <c r="E43" i="2"/>
  <c r="V43" i="2" s="1"/>
  <c r="L33" i="2"/>
  <c r="O25" i="2"/>
  <c r="E14" i="2"/>
  <c r="T13" i="2"/>
  <c r="N10" i="2"/>
  <c r="N26" i="2" s="1"/>
  <c r="O26" i="2" s="1"/>
  <c r="E18" i="2"/>
  <c r="T18" i="2" s="1"/>
  <c r="K37" i="2"/>
  <c r="C29" i="2"/>
  <c r="T29" i="2" s="1"/>
  <c r="C26" i="2"/>
  <c r="T25" i="2"/>
  <c r="L34" i="2"/>
  <c r="L37" i="2" s="1"/>
  <c r="L36" i="2" l="1"/>
  <c r="O36" i="2" s="1"/>
  <c r="O33" i="2"/>
  <c r="C36" i="2"/>
  <c r="T26" i="2"/>
  <c r="C27" i="2"/>
  <c r="C30" i="2"/>
  <c r="T14" i="2"/>
  <c r="E15" i="2"/>
  <c r="T30" i="2" l="1"/>
  <c r="C31" i="2"/>
  <c r="T27" i="2"/>
  <c r="T15" i="2"/>
  <c r="E19" i="2"/>
  <c r="T19" i="2" s="1"/>
  <c r="E16" i="2"/>
  <c r="C38" i="2"/>
  <c r="T36" i="2"/>
  <c r="C40" i="2" l="1"/>
  <c r="T38" i="2"/>
  <c r="E42" i="2"/>
  <c r="E44" i="2" s="1"/>
  <c r="F38" i="2"/>
  <c r="C32" i="2"/>
  <c r="T31" i="2"/>
  <c r="E17" i="2"/>
  <c r="T16" i="2"/>
  <c r="E20" i="2"/>
  <c r="T20" i="2" s="1"/>
  <c r="W38" i="2" l="1"/>
  <c r="N14" i="2"/>
  <c r="T17" i="2"/>
  <c r="E21" i="2"/>
  <c r="T21" i="2" s="1"/>
  <c r="V42" i="2"/>
  <c r="T32" i="2"/>
  <c r="C33" i="2"/>
  <c r="E40" i="2"/>
  <c r="T40" i="2"/>
  <c r="AM5" i="2" l="1"/>
  <c r="AO5" i="2"/>
  <c r="T33" i="2"/>
  <c r="C34" i="2"/>
  <c r="T34" i="2" s="1"/>
  <c r="V44" i="2"/>
  <c r="O15" i="2"/>
  <c r="N28" i="2"/>
  <c r="M27" i="2"/>
  <c r="V40" i="2"/>
  <c r="M18" i="2"/>
  <c r="AP5" i="2" l="1"/>
  <c r="AQ5" i="2" s="1"/>
  <c r="N29" i="2"/>
  <c r="M28" i="2"/>
  <c r="O27" i="2"/>
  <c r="AR5" i="2"/>
  <c r="M21" i="2"/>
  <c r="M34" i="2" l="1"/>
  <c r="M29" i="2"/>
  <c r="O29" i="2" s="1"/>
  <c r="O28" i="2"/>
  <c r="O21" i="2"/>
  <c r="M22" i="2"/>
  <c r="O22" i="2" s="1"/>
  <c r="O24" i="2" l="1"/>
  <c r="M37" i="2"/>
  <c r="O37" i="2" s="1"/>
  <c r="O35" i="2" s="1"/>
  <c r="O34" i="2"/>
  <c r="O32" i="2" s="1"/>
</calcChain>
</file>

<file path=xl/comments1.xml><?xml version="1.0" encoding="utf-8"?>
<comments xmlns="http://schemas.openxmlformats.org/spreadsheetml/2006/main">
  <authors>
    <author>AberaChala</author>
  </authors>
  <commentList>
    <comment ref="E23" authorId="0" shapeId="0">
      <text>
        <r>
          <rPr>
            <b/>
            <sz val="9"/>
            <color indexed="81"/>
            <rFont val="Tahoma"/>
            <family val="2"/>
          </rPr>
          <t>AberaChala:</t>
        </r>
        <r>
          <rPr>
            <sz val="9"/>
            <color indexed="81"/>
            <rFont val="Tahoma"/>
            <family val="2"/>
          </rPr>
          <t xml:space="preserve">
by goal seek till Ec-E1=0</t>
        </r>
      </text>
    </comment>
  </commentList>
</comments>
</file>

<file path=xl/sharedStrings.xml><?xml version="1.0" encoding="utf-8"?>
<sst xmlns="http://schemas.openxmlformats.org/spreadsheetml/2006/main" count="201" uniqueCount="128">
  <si>
    <t>Table: Summary of Chute Hydraulics</t>
  </si>
  <si>
    <t>Design Parameter</t>
  </si>
  <si>
    <r>
      <t xml:space="preserve">Chute </t>
    </r>
    <r>
      <rPr>
        <b/>
        <sz val="10"/>
        <color theme="1"/>
        <rFont val="Calibri"/>
        <family val="2"/>
      </rPr>
      <t xml:space="preserve">@ </t>
    </r>
    <r>
      <rPr>
        <b/>
        <sz val="10"/>
        <color theme="1"/>
        <rFont val="Calibri"/>
        <family val="2"/>
        <scheme val="minor"/>
      </rPr>
      <t>Reach 1+930 to 2+005</t>
    </r>
  </si>
  <si>
    <t>Chute @ Reach 3+285 to 3+605</t>
  </si>
  <si>
    <r>
      <t xml:space="preserve">Chute </t>
    </r>
    <r>
      <rPr>
        <b/>
        <sz val="10"/>
        <color theme="1"/>
        <rFont val="Calibri"/>
        <family val="2"/>
      </rPr>
      <t xml:space="preserve">@ </t>
    </r>
    <r>
      <rPr>
        <b/>
        <sz val="10"/>
        <color theme="1"/>
        <rFont val="Calibri"/>
        <family val="2"/>
        <scheme val="minor"/>
      </rPr>
      <t>Reach 3+635 to 4+135</t>
    </r>
  </si>
  <si>
    <t>Inclined/Chute Length, m</t>
  </si>
  <si>
    <t>Height, Z=</t>
  </si>
  <si>
    <t>a</t>
  </si>
  <si>
    <t>Avg. OGL=</t>
  </si>
  <si>
    <t>b</t>
  </si>
  <si>
    <t>Canal characteristics before the chute</t>
  </si>
  <si>
    <t>Q=</t>
  </si>
  <si>
    <t>D=</t>
  </si>
  <si>
    <t>d=</t>
  </si>
  <si>
    <t xml:space="preserve">Canal characteristics before the chute:  </t>
  </si>
  <si>
    <t>V=</t>
  </si>
  <si>
    <t>n=</t>
  </si>
  <si>
    <t>S=</t>
  </si>
  <si>
    <t>b=</t>
  </si>
  <si>
    <t>FB=</t>
  </si>
  <si>
    <t>m=</t>
  </si>
  <si>
    <t>Critical flow hydraulics</t>
  </si>
  <si>
    <t xml:space="preserve">Width of the notch, bc= 0.734Q/ d 3/2 </t>
  </si>
  <si>
    <t>adopt</t>
  </si>
  <si>
    <r>
      <t>Width of notch, bc= 0.734Q/ d</t>
    </r>
    <r>
      <rPr>
        <vertAlign val="superscript"/>
        <sz val="8"/>
        <color theme="1"/>
        <rFont val="Arial"/>
        <family val="2"/>
      </rPr>
      <t>3/2</t>
    </r>
    <r>
      <rPr>
        <sz val="8"/>
        <color theme="1"/>
        <rFont val="Arial"/>
        <family val="2"/>
      </rPr>
      <t xml:space="preserve"> </t>
    </r>
  </si>
  <si>
    <t xml:space="preserve">q= Q/bc = </t>
  </si>
  <si>
    <r>
      <t>dc= (q2/ q)</t>
    </r>
    <r>
      <rPr>
        <vertAlign val="superscript"/>
        <sz val="10"/>
        <color indexed="8"/>
        <rFont val="Arial"/>
        <family val="2"/>
      </rPr>
      <t xml:space="preserve"> 1/3</t>
    </r>
    <r>
      <rPr>
        <sz val="10"/>
        <color indexed="8"/>
        <rFont val="Arial"/>
        <family val="2"/>
      </rPr>
      <t xml:space="preserve"> </t>
    </r>
  </si>
  <si>
    <t xml:space="preserve">dc= (q2/ q) 1/3 </t>
  </si>
  <si>
    <t>Dc= fbc+dc=</t>
  </si>
  <si>
    <t>e=</t>
  </si>
  <si>
    <t>Water Area, Ac=</t>
  </si>
  <si>
    <t>f=</t>
  </si>
  <si>
    <t>Vc=</t>
  </si>
  <si>
    <t>c=</t>
  </si>
  <si>
    <t>Hvc=</t>
  </si>
  <si>
    <r>
      <t>Pc= bc+2*dc</t>
    </r>
    <r>
      <rPr>
        <sz val="10"/>
        <color indexed="8"/>
        <rFont val="Arial"/>
        <family val="2"/>
      </rPr>
      <t>=</t>
    </r>
  </si>
  <si>
    <t>g=</t>
  </si>
  <si>
    <t>Pc= bc+2*dc=</t>
  </si>
  <si>
    <t xml:space="preserve">Rc= Ac / Pc </t>
  </si>
  <si>
    <t>SN</t>
  </si>
  <si>
    <t xml:space="preserve">Description </t>
  </si>
  <si>
    <t>Unit</t>
  </si>
  <si>
    <t>Qt</t>
  </si>
  <si>
    <t>L</t>
  </si>
  <si>
    <t>h</t>
  </si>
  <si>
    <t>volume</t>
  </si>
  <si>
    <r>
      <t>Ic = (nVc/ Rc</t>
    </r>
    <r>
      <rPr>
        <vertAlign val="superscript"/>
        <sz val="11"/>
        <color indexed="8"/>
        <rFont val="Arial"/>
        <family val="2"/>
      </rPr>
      <t>2/3</t>
    </r>
    <r>
      <rPr>
        <sz val="11"/>
        <color indexed="8"/>
        <rFont val="Arial"/>
        <family val="2"/>
      </rPr>
      <t xml:space="preserve">) </t>
    </r>
    <r>
      <rPr>
        <vertAlign val="superscript"/>
        <sz val="11"/>
        <color indexed="8"/>
        <rFont val="Arial"/>
        <family val="2"/>
      </rPr>
      <t>2</t>
    </r>
  </si>
  <si>
    <t>Earth Work</t>
  </si>
  <si>
    <t>Ic = (nVc/ Rc2/3) 2</t>
  </si>
  <si>
    <r>
      <t>E</t>
    </r>
    <r>
      <rPr>
        <vertAlign val="subscript"/>
        <sz val="11"/>
        <color indexed="8"/>
        <rFont val="Arial"/>
        <family val="2"/>
      </rPr>
      <t>c</t>
    </r>
    <r>
      <rPr>
        <sz val="11"/>
        <color indexed="8"/>
        <rFont val="Arial"/>
        <family val="2"/>
      </rPr>
      <t>= d</t>
    </r>
    <r>
      <rPr>
        <vertAlign val="subscript"/>
        <sz val="11"/>
        <color indexed="8"/>
        <rFont val="Arial"/>
        <family val="2"/>
      </rPr>
      <t>c</t>
    </r>
    <r>
      <rPr>
        <sz val="11"/>
        <color indexed="8"/>
        <rFont val="Arial"/>
        <family val="2"/>
      </rPr>
      <t>+H</t>
    </r>
    <r>
      <rPr>
        <vertAlign val="subscript"/>
        <sz val="11"/>
        <color indexed="8"/>
        <rFont val="Arial"/>
        <family val="2"/>
      </rPr>
      <t>vc</t>
    </r>
    <r>
      <rPr>
        <sz val="11"/>
        <color indexed="8"/>
        <rFont val="Arial"/>
        <family val="2"/>
      </rPr>
      <t>+Z=</t>
    </r>
  </si>
  <si>
    <t>Site clearance</t>
  </si>
  <si>
    <t>m2</t>
  </si>
  <si>
    <t>Ec= dc+Hvc+Z=</t>
  </si>
  <si>
    <t>Energy at pre-Jump section</t>
  </si>
  <si>
    <t>Soil Excavation</t>
  </si>
  <si>
    <t>m3</t>
  </si>
  <si>
    <t>E1= d1+hv1+hf1</t>
  </si>
  <si>
    <t>Assume, d1=</t>
  </si>
  <si>
    <t>d1=</t>
  </si>
  <si>
    <t>b1= bc=</t>
  </si>
  <si>
    <t>Reinforced Concrete works</t>
  </si>
  <si>
    <t>A1= d1xb1</t>
  </si>
  <si>
    <t>2.1.1</t>
  </si>
  <si>
    <t>Inclined base</t>
  </si>
  <si>
    <t>V1= Q / A1=</t>
  </si>
  <si>
    <t>2.1.2</t>
  </si>
  <si>
    <t>Inclined side Walls</t>
  </si>
  <si>
    <t xml:space="preserve">Hv1= v12/2*g= </t>
  </si>
  <si>
    <t>2.1.3</t>
  </si>
  <si>
    <t>Stilling basin</t>
  </si>
  <si>
    <t>P1 = b1+2*d1=</t>
  </si>
  <si>
    <t>2.1.4</t>
  </si>
  <si>
    <t>Walls for basin</t>
  </si>
  <si>
    <t>R1= A1/P1 =</t>
  </si>
  <si>
    <t>2.1.5</t>
  </si>
  <si>
    <t>End sill</t>
  </si>
  <si>
    <t>I1 = (n*v1/ R1 2/3) 2</t>
  </si>
  <si>
    <t>2.1.6</t>
  </si>
  <si>
    <t>Cut-off/keys at every 10m</t>
  </si>
  <si>
    <t xml:space="preserve">Im= [I1+Ic]/2 </t>
  </si>
  <si>
    <t>2.1.7</t>
  </si>
  <si>
    <t>Cut-offs for basin</t>
  </si>
  <si>
    <t>hf1= Im*L =</t>
  </si>
  <si>
    <t>Form Work</t>
  </si>
  <si>
    <t xml:space="preserve">E1= </t>
  </si>
  <si>
    <t>For notch Side walls</t>
  </si>
  <si>
    <t>Check Ec - E1 = 0</t>
  </si>
  <si>
    <t>For Stilling basin walls</t>
  </si>
  <si>
    <t>Conjugate depth, d2</t>
  </si>
  <si>
    <t>Hard coring</t>
  </si>
  <si>
    <t xml:space="preserve">Fr = V1 / (gd1)1/2 </t>
  </si>
  <si>
    <t>Under Inclined side</t>
  </si>
  <si>
    <t xml:space="preserve">q= Q/b = </t>
  </si>
  <si>
    <t>Under Stilling basin</t>
  </si>
  <si>
    <r>
      <t>d2= d1 /2[(1+8*Fr</t>
    </r>
    <r>
      <rPr>
        <vertAlign val="sub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  <r>
      <rPr>
        <vertAlign val="superscript"/>
        <sz val="11"/>
        <color indexed="8"/>
        <rFont val="Arial"/>
        <family val="2"/>
      </rPr>
      <t>1/2</t>
    </r>
    <r>
      <rPr>
        <sz val="11"/>
        <color indexed="8"/>
        <rFont val="Arial"/>
        <family val="2"/>
      </rPr>
      <t>-1]</t>
    </r>
  </si>
  <si>
    <t>WL in SB</t>
  </si>
  <si>
    <t>d2= d1 /2[(1+8*Fr2)1/2-1]</t>
  </si>
  <si>
    <t>Length L= 4*d2 =</t>
  </si>
  <si>
    <t>Adopt</t>
  </si>
  <si>
    <r>
      <t>B=18.46*(Q</t>
    </r>
    <r>
      <rPr>
        <vertAlign val="superscript"/>
        <sz val="11"/>
        <color indexed="8"/>
        <rFont val="Arial"/>
        <family val="2"/>
      </rPr>
      <t>1/2</t>
    </r>
    <r>
      <rPr>
        <sz val="11"/>
        <color indexed="8"/>
        <rFont val="Arial"/>
        <family val="2"/>
      </rPr>
      <t>)/ (Q+9.91)=</t>
    </r>
  </si>
  <si>
    <t>B=18.46*(Q1/2)/ (Q+9.91)=</t>
  </si>
  <si>
    <r>
      <t>E2= d2+Hv2 = d2 +v2</t>
    </r>
    <r>
      <rPr>
        <vertAlign val="superscript"/>
        <sz val="9"/>
        <color indexed="8"/>
        <rFont val="Arial"/>
        <family val="2"/>
      </rPr>
      <t>2</t>
    </r>
    <r>
      <rPr>
        <sz val="9"/>
        <color indexed="8"/>
        <rFont val="Arial"/>
        <family val="2"/>
      </rPr>
      <t xml:space="preserve"> /2g= d2 + [(q/d2)2 ]/2g=</t>
    </r>
  </si>
  <si>
    <t>E2=d2+Hv2=d2+v22 /2g=d2+[(q/d2)2 ]/2g=</t>
  </si>
  <si>
    <t>E3= d3+Hv3= d3+v32/2g= d3+(q/d3)2/2g</t>
  </si>
  <si>
    <t>Sill height, a = E2- E3</t>
  </si>
  <si>
    <t>Design of Chute &amp; Stilling basin of : Reach ??</t>
  </si>
  <si>
    <t>b/d of chute =</t>
  </si>
  <si>
    <t>SB bed Level (d)</t>
  </si>
  <si>
    <t>SB length (g)</t>
  </si>
  <si>
    <t>CBL at end of SB  (f)</t>
  </si>
  <si>
    <t>WL at end of SB, d2 (e)</t>
  </si>
  <si>
    <t>Name of Chute</t>
  </si>
  <si>
    <t>Reach ? to ?</t>
  </si>
  <si>
    <t xml:space="preserve"> </t>
  </si>
  <si>
    <t>Inclined length (c)</t>
  </si>
  <si>
    <t>Initial Depth of jump (d1)</t>
  </si>
  <si>
    <t>Inlet sill Level (a)</t>
  </si>
  <si>
    <t>Height of Spillway/Chute (b)</t>
  </si>
  <si>
    <t>Conjugate Depth of jump (d2)</t>
  </si>
  <si>
    <t>Note: All units are in meters</t>
  </si>
  <si>
    <t>Q (m3/s)</t>
  </si>
  <si>
    <t>Flow Velocity (m/s)</t>
  </si>
  <si>
    <t>Critical flow hydraulics of spillway/Chute</t>
  </si>
  <si>
    <t>FB (m)</t>
  </si>
  <si>
    <t>Flow depth (m)</t>
  </si>
  <si>
    <t>Bed slope (m/m)</t>
  </si>
  <si>
    <t>Bed Width b(m)</t>
  </si>
  <si>
    <t>End Sill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</si>
</sst>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  <numFmt numFmtId="166" formatCode="0.00_);\(0.00\)"/>
    <numFmt numFmtId="167" formatCode="0.000"/>
    <numFmt numFmtId="168" formatCode="0.0"/>
    <numFmt numFmtId="169" formatCode="#,##0.000_);\(#,##0.000\)"/>
    <numFmt numFmtId="170" formatCode="#,##0.0_);\(#,##0.0\)"/>
    <numFmt numFmtId="171" formatCode="0.00000"/>
    <numFmt numFmtId="172" formatCode="_(* #,##0.00000_);_(* \(#,##0.00000\);_(* &quot;-&quot;??_);_(@_)"/>
    <numFmt numFmtId="173" formatCode="_(* #,##0.0000_);_(* \(#,##0.0000\);_(* &quot;-&quot;??_);_(@_)"/>
    <numFmt numFmtId="174" formatCode="_(* #,##0_);_(* \(#,##0\);_(* &quot;-&quot;??_);_(@_)"/>
    <numFmt numFmtId="175" formatCode="0.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vertAlign val="superscript"/>
      <sz val="11"/>
      <color indexed="8"/>
      <name val="Arial"/>
      <family val="2"/>
    </font>
    <font>
      <sz val="11"/>
      <color indexed="8"/>
      <name val="Arial"/>
      <family val="2"/>
    </font>
    <font>
      <sz val="7"/>
      <color theme="1"/>
      <name val="Calibri"/>
      <family val="2"/>
      <charset val="1"/>
      <scheme val="minor"/>
    </font>
    <font>
      <vertAlign val="subscript"/>
      <sz val="11"/>
      <color indexed="8"/>
      <name val="Arial"/>
      <family val="2"/>
    </font>
    <font>
      <u/>
      <sz val="11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2" xfId="0" applyFont="1" applyBorder="1"/>
    <xf numFmtId="0" fontId="0" fillId="0" borderId="5" xfId="0" applyBorder="1"/>
    <xf numFmtId="0" fontId="0" fillId="0" borderId="6" xfId="0" applyBorder="1"/>
    <xf numFmtId="0" fontId="5" fillId="0" borderId="0" xfId="0" applyFont="1"/>
    <xf numFmtId="0" fontId="6" fillId="0" borderId="0" xfId="0" applyFont="1"/>
    <xf numFmtId="0" fontId="0" fillId="0" borderId="3" xfId="0" applyBorder="1"/>
    <xf numFmtId="0" fontId="0" fillId="0" borderId="0" xfId="0" applyBorder="1"/>
    <xf numFmtId="0" fontId="0" fillId="0" borderId="7" xfId="0" applyBorder="1"/>
    <xf numFmtId="0" fontId="7" fillId="2" borderId="1" xfId="0" applyFont="1" applyFill="1" applyBorder="1"/>
    <xf numFmtId="0" fontId="9" fillId="0" borderId="2" xfId="0" applyFont="1" applyBorder="1"/>
    <xf numFmtId="164" fontId="1" fillId="0" borderId="5" xfId="1" applyNumberFormat="1" applyFont="1" applyBorder="1"/>
    <xf numFmtId="0" fontId="11" fillId="0" borderId="2" xfId="0" applyFont="1" applyBorder="1"/>
    <xf numFmtId="0" fontId="6" fillId="0" borderId="2" xfId="0" applyFont="1" applyBorder="1"/>
    <xf numFmtId="164" fontId="3" fillId="0" borderId="5" xfId="1" applyNumberFormat="1" applyFont="1" applyBorder="1"/>
    <xf numFmtId="0" fontId="6" fillId="0" borderId="5" xfId="0" applyFont="1" applyBorder="1"/>
    <xf numFmtId="0" fontId="0" fillId="0" borderId="2" xfId="0" applyBorder="1"/>
    <xf numFmtId="0" fontId="9" fillId="0" borderId="3" xfId="0" applyFont="1" applyBorder="1"/>
    <xf numFmtId="43" fontId="0" fillId="0" borderId="0" xfId="1" applyNumberFormat="1" applyFont="1" applyBorder="1"/>
    <xf numFmtId="165" fontId="0" fillId="0" borderId="0" xfId="0" applyNumberFormat="1"/>
    <xf numFmtId="0" fontId="11" fillId="0" borderId="3" xfId="0" applyFont="1" applyBorder="1"/>
    <xf numFmtId="0" fontId="6" fillId="0" borderId="3" xfId="0" applyFont="1" applyBorder="1"/>
    <xf numFmtId="164" fontId="6" fillId="0" borderId="0" xfId="1" applyNumberFormat="1" applyFont="1" applyBorder="1"/>
    <xf numFmtId="0" fontId="6" fillId="0" borderId="0" xfId="0" applyFont="1" applyBorder="1"/>
    <xf numFmtId="0" fontId="9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" xfId="0" applyBorder="1" applyAlignment="1">
      <alignment horizontal="left"/>
    </xf>
    <xf numFmtId="168" fontId="0" fillId="0" borderId="1" xfId="0" applyNumberForma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39" fontId="0" fillId="0" borderId="5" xfId="0" applyNumberFormat="1" applyBorder="1"/>
    <xf numFmtId="2" fontId="0" fillId="0" borderId="6" xfId="0" applyNumberFormat="1" applyBorder="1"/>
    <xf numFmtId="0" fontId="12" fillId="0" borderId="2" xfId="0" applyFont="1" applyBorder="1" applyAlignment="1">
      <alignment horizontal="left"/>
    </xf>
    <xf numFmtId="43" fontId="6" fillId="0" borderId="2" xfId="1" applyFont="1" applyBorder="1"/>
    <xf numFmtId="0" fontId="11" fillId="0" borderId="5" xfId="0" applyFont="1" applyBorder="1" applyAlignment="1">
      <alignment horizontal="right"/>
    </xf>
    <xf numFmtId="39" fontId="6" fillId="0" borderId="5" xfId="0" applyNumberFormat="1" applyFont="1" applyBorder="1"/>
    <xf numFmtId="0" fontId="11" fillId="0" borderId="6" xfId="0" applyFont="1" applyBorder="1" applyAlignment="1">
      <alignment horizontal="right"/>
    </xf>
    <xf numFmtId="43" fontId="6" fillId="0" borderId="5" xfId="1" applyFont="1" applyBorder="1"/>
    <xf numFmtId="0" fontId="11" fillId="0" borderId="2" xfId="0" applyFont="1" applyBorder="1" applyAlignment="1">
      <alignment horizontal="right"/>
    </xf>
    <xf numFmtId="2" fontId="6" fillId="0" borderId="5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9" fontId="0" fillId="0" borderId="0" xfId="0" applyNumberFormat="1" applyBorder="1"/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6" fillId="0" borderId="3" xfId="1" applyNumberFormat="1" applyFont="1" applyBorder="1"/>
    <xf numFmtId="165" fontId="6" fillId="0" borderId="0" xfId="1" applyNumberFormat="1" applyFont="1" applyBorder="1" applyAlignment="1">
      <alignment horizontal="right"/>
    </xf>
    <xf numFmtId="39" fontId="6" fillId="0" borderId="0" xfId="1" applyNumberFormat="1" applyFont="1" applyBorder="1" applyAlignment="1">
      <alignment horizontal="left"/>
    </xf>
    <xf numFmtId="39" fontId="6" fillId="0" borderId="7" xfId="1" applyNumberFormat="1" applyFont="1" applyBorder="1" applyAlignment="1">
      <alignment horizontal="left"/>
    </xf>
    <xf numFmtId="0" fontId="9" fillId="0" borderId="4" xfId="0" applyFont="1" applyBorder="1" applyAlignment="1">
      <alignment horizontal="right"/>
    </xf>
    <xf numFmtId="2" fontId="0" fillId="0" borderId="11" xfId="0" applyNumberFormat="1" applyBorder="1"/>
    <xf numFmtId="0" fontId="0" fillId="0" borderId="11" xfId="0" applyBorder="1" applyAlignment="1">
      <alignment horizontal="right"/>
    </xf>
    <xf numFmtId="39" fontId="0" fillId="0" borderId="11" xfId="0" applyNumberFormat="1" applyBorder="1"/>
    <xf numFmtId="0" fontId="0" fillId="0" borderId="0" xfId="0" applyAlignment="1">
      <alignment horizontal="right"/>
    </xf>
    <xf numFmtId="168" fontId="0" fillId="0" borderId="0" xfId="0" applyNumberFormat="1" applyAlignment="1">
      <alignment horizontal="left"/>
    </xf>
    <xf numFmtId="169" fontId="6" fillId="0" borderId="0" xfId="1" applyNumberFormat="1" applyFont="1" applyBorder="1" applyAlignment="1">
      <alignment horizontal="left"/>
    </xf>
    <xf numFmtId="169" fontId="6" fillId="0" borderId="7" xfId="1" applyNumberFormat="1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165" fontId="6" fillId="0" borderId="4" xfId="1" applyNumberFormat="1" applyFont="1" applyBorder="1"/>
    <xf numFmtId="165" fontId="6" fillId="0" borderId="11" xfId="1" applyNumberFormat="1" applyFont="1" applyBorder="1" applyAlignment="1">
      <alignment horizontal="right"/>
    </xf>
    <xf numFmtId="169" fontId="6" fillId="0" borderId="11" xfId="1" applyNumberFormat="1" applyFont="1" applyBorder="1" applyAlignment="1">
      <alignment horizontal="left"/>
    </xf>
    <xf numFmtId="170" fontId="6" fillId="0" borderId="12" xfId="1" applyNumberFormat="1" applyFont="1" applyBorder="1" applyAlignment="1">
      <alignment horizontal="left"/>
    </xf>
    <xf numFmtId="0" fontId="13" fillId="0" borderId="2" xfId="0" applyFont="1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left"/>
    </xf>
    <xf numFmtId="43" fontId="0" fillId="0" borderId="0" xfId="0" applyNumberFormat="1" applyAlignment="1"/>
    <xf numFmtId="0" fontId="14" fillId="0" borderId="3" xfId="0" applyFont="1" applyBorder="1"/>
    <xf numFmtId="0" fontId="15" fillId="0" borderId="3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167" fontId="6" fillId="0" borderId="0" xfId="0" applyNumberFormat="1" applyFont="1" applyBorder="1"/>
    <xf numFmtId="0" fontId="15" fillId="0" borderId="2" xfId="0" applyFont="1" applyBorder="1" applyAlignment="1">
      <alignment horizontal="center"/>
    </xf>
    <xf numFmtId="0" fontId="16" fillId="0" borderId="3" xfId="0" applyFont="1" applyBorder="1"/>
    <xf numFmtId="43" fontId="1" fillId="0" borderId="0" xfId="1" applyFont="1" applyBorder="1" applyAlignment="1">
      <alignment horizontal="left"/>
    </xf>
    <xf numFmtId="166" fontId="0" fillId="0" borderId="0" xfId="0" applyNumberFormat="1" applyAlignment="1">
      <alignment horizontal="left" vertical="top"/>
    </xf>
    <xf numFmtId="43" fontId="6" fillId="0" borderId="3" xfId="0" applyNumberFormat="1" applyFont="1" applyBorder="1" applyAlignment="1">
      <alignment horizontal="right"/>
    </xf>
    <xf numFmtId="43" fontId="3" fillId="0" borderId="0" xfId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43" fontId="0" fillId="0" borderId="0" xfId="0" applyNumberFormat="1" applyBorder="1"/>
    <xf numFmtId="43" fontId="6" fillId="0" borderId="0" xfId="0" applyNumberFormat="1" applyFont="1" applyBorder="1"/>
    <xf numFmtId="0" fontId="6" fillId="0" borderId="7" xfId="0" applyFont="1" applyBorder="1"/>
    <xf numFmtId="167" fontId="0" fillId="0" borderId="0" xfId="0" applyNumberFormat="1" applyAlignment="1">
      <alignment horizontal="left"/>
    </xf>
    <xf numFmtId="167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65" fontId="1" fillId="0" borderId="0" xfId="1" applyNumberFormat="1" applyFont="1" applyBorder="1"/>
    <xf numFmtId="165" fontId="3" fillId="0" borderId="0" xfId="1" applyNumberFormat="1" applyFont="1" applyBorder="1"/>
    <xf numFmtId="168" fontId="0" fillId="0" borderId="0" xfId="0" applyNumberForma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0" applyFont="1" applyFill="1" applyBorder="1" applyAlignment="1">
      <alignment horizontal="left"/>
    </xf>
    <xf numFmtId="171" fontId="0" fillId="0" borderId="0" xfId="0" applyNumberFormat="1" applyBorder="1"/>
    <xf numFmtId="0" fontId="2" fillId="0" borderId="1" xfId="0" applyFont="1" applyBorder="1"/>
    <xf numFmtId="172" fontId="23" fillId="0" borderId="3" xfId="0" applyNumberFormat="1" applyFont="1" applyBorder="1" applyAlignment="1">
      <alignment horizontal="right"/>
    </xf>
    <xf numFmtId="173" fontId="6" fillId="0" borderId="0" xfId="1" applyNumberFormat="1" applyFont="1" applyBorder="1"/>
    <xf numFmtId="165" fontId="0" fillId="0" borderId="0" xfId="0" applyNumberForma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168" fontId="0" fillId="0" borderId="1" xfId="0" applyNumberFormat="1" applyBorder="1"/>
    <xf numFmtId="2" fontId="0" fillId="0" borderId="1" xfId="0" applyNumberFormat="1" applyBorder="1"/>
    <xf numFmtId="165" fontId="6" fillId="0" borderId="11" xfId="0" applyNumberFormat="1" applyFont="1" applyBorder="1"/>
    <xf numFmtId="0" fontId="6" fillId="0" borderId="11" xfId="0" applyFont="1" applyBorder="1"/>
    <xf numFmtId="0" fontId="6" fillId="0" borderId="12" xfId="0" applyFont="1" applyBorder="1"/>
    <xf numFmtId="165" fontId="6" fillId="0" borderId="0" xfId="0" applyNumberFormat="1" applyFont="1" applyBorder="1"/>
    <xf numFmtId="43" fontId="6" fillId="0" borderId="4" xfId="0" applyNumberFormat="1" applyFont="1" applyBorder="1" applyAlignment="1">
      <alignment horizontal="right"/>
    </xf>
    <xf numFmtId="0" fontId="25" fillId="0" borderId="3" xfId="0" applyFont="1" applyBorder="1"/>
    <xf numFmtId="43" fontId="0" fillId="0" borderId="1" xfId="0" applyNumberFormat="1" applyBorder="1"/>
    <xf numFmtId="174" fontId="0" fillId="0" borderId="1" xfId="0" applyNumberFormat="1" applyBorder="1"/>
    <xf numFmtId="0" fontId="26" fillId="0" borderId="2" xfId="0" applyFont="1" applyBorder="1"/>
    <xf numFmtId="0" fontId="16" fillId="0" borderId="0" xfId="0" applyFont="1" applyBorder="1"/>
    <xf numFmtId="175" fontId="0" fillId="3" borderId="0" xfId="0" applyNumberFormat="1" applyFill="1" applyBorder="1"/>
    <xf numFmtId="175" fontId="6" fillId="0" borderId="0" xfId="0" applyNumberFormat="1" applyFont="1" applyBorder="1"/>
    <xf numFmtId="43" fontId="6" fillId="0" borderId="3" xfId="0" applyNumberFormat="1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175" fontId="0" fillId="0" borderId="0" xfId="0" applyNumberFormat="1" applyBorder="1"/>
    <xf numFmtId="173" fontId="6" fillId="0" borderId="3" xfId="0" applyNumberFormat="1" applyFont="1" applyBorder="1"/>
    <xf numFmtId="165" fontId="6" fillId="0" borderId="0" xfId="1" applyNumberFormat="1" applyFont="1" applyBorder="1"/>
    <xf numFmtId="0" fontId="0" fillId="0" borderId="1" xfId="0" applyFill="1" applyBorder="1"/>
    <xf numFmtId="43" fontId="0" fillId="0" borderId="1" xfId="1" applyFont="1" applyBorder="1"/>
    <xf numFmtId="0" fontId="11" fillId="0" borderId="4" xfId="0" applyFont="1" applyBorder="1"/>
    <xf numFmtId="165" fontId="6" fillId="0" borderId="3" xfId="0" applyNumberFormat="1" applyFont="1" applyBorder="1"/>
    <xf numFmtId="0" fontId="13" fillId="0" borderId="3" xfId="0" applyFont="1" applyBorder="1"/>
    <xf numFmtId="0" fontId="2" fillId="0" borderId="1" xfId="0" applyFont="1" applyFill="1" applyBorder="1"/>
    <xf numFmtId="0" fontId="14" fillId="0" borderId="2" xfId="0" applyFont="1" applyBorder="1"/>
    <xf numFmtId="2" fontId="0" fillId="0" borderId="0" xfId="0" applyNumberFormat="1" applyBorder="1"/>
    <xf numFmtId="2" fontId="6" fillId="0" borderId="3" xfId="0" applyNumberFormat="1" applyFont="1" applyBorder="1"/>
    <xf numFmtId="2" fontId="6" fillId="0" borderId="0" xfId="0" applyNumberFormat="1" applyFont="1" applyBorder="1"/>
    <xf numFmtId="167" fontId="0" fillId="0" borderId="0" xfId="0" applyNumberFormat="1" applyBorder="1"/>
    <xf numFmtId="167" fontId="0" fillId="0" borderId="7" xfId="0" applyNumberFormat="1" applyBorder="1"/>
    <xf numFmtId="167" fontId="23" fillId="0" borderId="0" xfId="0" applyNumberFormat="1" applyFont="1" applyBorder="1"/>
    <xf numFmtId="0" fontId="14" fillId="0" borderId="4" xfId="0" applyFont="1" applyBorder="1"/>
    <xf numFmtId="0" fontId="6" fillId="0" borderId="4" xfId="0" applyFont="1" applyBorder="1"/>
    <xf numFmtId="43" fontId="1" fillId="0" borderId="0" xfId="1" applyFont="1" applyBorder="1"/>
    <xf numFmtId="2" fontId="0" fillId="0" borderId="0" xfId="0" applyNumberFormat="1" applyBorder="1" applyAlignment="1">
      <alignment horizontal="center"/>
    </xf>
    <xf numFmtId="43" fontId="6" fillId="0" borderId="2" xfId="0" applyNumberFormat="1" applyFont="1" applyBorder="1"/>
    <xf numFmtId="0" fontId="6" fillId="0" borderId="5" xfId="0" applyFont="1" applyBorder="1" applyAlignment="1">
      <alignment horizontal="right"/>
    </xf>
    <xf numFmtId="2" fontId="6" fillId="0" borderId="5" xfId="0" applyNumberFormat="1" applyFont="1" applyBorder="1"/>
    <xf numFmtId="2" fontId="6" fillId="0" borderId="6" xfId="0" applyNumberFormat="1" applyFont="1" applyBorder="1" applyAlignment="1">
      <alignment horizontal="center"/>
    </xf>
    <xf numFmtId="43" fontId="1" fillId="0" borderId="0" xfId="1" applyNumberFormat="1" applyFont="1" applyBorder="1"/>
    <xf numFmtId="2" fontId="6" fillId="0" borderId="7" xfId="0" applyNumberFormat="1" applyFont="1" applyBorder="1" applyAlignment="1">
      <alignment horizontal="center"/>
    </xf>
    <xf numFmtId="0" fontId="27" fillId="0" borderId="3" xfId="0" applyFont="1" applyBorder="1"/>
    <xf numFmtId="167" fontId="0" fillId="0" borderId="0" xfId="0" applyNumberFormat="1" applyBorder="1" applyAlignment="1">
      <alignment horizontal="center"/>
    </xf>
    <xf numFmtId="0" fontId="12" fillId="0" borderId="3" xfId="0" applyFont="1" applyBorder="1"/>
    <xf numFmtId="167" fontId="6" fillId="0" borderId="7" xfId="0" applyNumberFormat="1" applyFont="1" applyBorder="1" applyAlignment="1">
      <alignment horizontal="center"/>
    </xf>
    <xf numFmtId="0" fontId="16" fillId="0" borderId="4" xfId="0" applyFont="1" applyBorder="1"/>
    <xf numFmtId="2" fontId="0" fillId="0" borderId="11" xfId="0" applyNumberFormat="1" applyBorder="1" applyAlignment="1">
      <alignment horizontal="center"/>
    </xf>
    <xf numFmtId="2" fontId="6" fillId="0" borderId="11" xfId="0" applyNumberFormat="1" applyFont="1" applyBorder="1"/>
    <xf numFmtId="2" fontId="6" fillId="0" borderId="12" xfId="0" applyNumberFormat="1" applyFont="1" applyBorder="1" applyAlignment="1">
      <alignment horizontal="center"/>
    </xf>
    <xf numFmtId="168" fontId="0" fillId="0" borderId="5" xfId="0" applyNumberFormat="1" applyBorder="1"/>
    <xf numFmtId="39" fontId="0" fillId="0" borderId="0" xfId="0" applyNumberFormat="1" applyAlignment="1">
      <alignment horizontal="center"/>
    </xf>
    <xf numFmtId="43" fontId="0" fillId="0" borderId="0" xfId="0" applyNumberFormat="1" applyAlignment="1">
      <alignment horizontal="right"/>
    </xf>
    <xf numFmtId="164" fontId="0" fillId="0" borderId="1" xfId="0" applyNumberFormat="1" applyBorder="1"/>
    <xf numFmtId="164" fontId="0" fillId="0" borderId="1" xfId="1" applyNumberFormat="1" applyFont="1" applyBorder="1"/>
    <xf numFmtId="170" fontId="0" fillId="0" borderId="0" xfId="2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/>
    </xf>
    <xf numFmtId="0" fontId="33" fillId="0" borderId="1" xfId="0" applyFont="1" applyBorder="1" applyAlignment="1">
      <alignment horizontal="right"/>
    </xf>
    <xf numFmtId="0" fontId="33" fillId="0" borderId="1" xfId="0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67" fontId="33" fillId="0" borderId="1" xfId="0" applyNumberFormat="1" applyFont="1" applyBorder="1" applyAlignment="1">
      <alignment horizontal="center"/>
    </xf>
    <xf numFmtId="2" fontId="33" fillId="0" borderId="1" xfId="0" applyNumberFormat="1" applyFont="1" applyBorder="1" applyAlignment="1">
      <alignment horizontal="center"/>
    </xf>
    <xf numFmtId="168" fontId="33" fillId="0" borderId="1" xfId="0" applyNumberFormat="1" applyFont="1" applyBorder="1" applyAlignment="1">
      <alignment horizontal="center"/>
    </xf>
    <xf numFmtId="0" fontId="32" fillId="2" borderId="13" xfId="0" applyFont="1" applyFill="1" applyBorder="1" applyAlignment="1">
      <alignment horizontal="center" vertical="top" wrapText="1"/>
    </xf>
    <xf numFmtId="0" fontId="32" fillId="2" borderId="14" xfId="0" applyFont="1" applyFill="1" applyBorder="1" applyAlignment="1">
      <alignment horizontal="center" vertical="top" wrapText="1"/>
    </xf>
    <xf numFmtId="10" fontId="33" fillId="0" borderId="1" xfId="3" applyNumberFormat="1" applyFont="1" applyBorder="1" applyAlignment="1">
      <alignment horizontal="center"/>
    </xf>
  </cellXfs>
  <cellStyles count="4">
    <cellStyle name="Comma" xfId="2" builtinId="3"/>
    <cellStyle name="Comma 3" xfId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400053</xdr:colOff>
      <xdr:row>7</xdr:row>
      <xdr:rowOff>95252</xdr:rowOff>
    </xdr:from>
    <xdr:to>
      <xdr:col>9</xdr:col>
      <xdr:colOff>438153</xdr:colOff>
      <xdr:row>14</xdr:row>
      <xdr:rowOff>28577</xdr:rowOff>
    </xdr:to>
    <xdr:sp macro="" textlink="">
      <xdr:nvSpPr>
        <xdr:cNvPr id="2" name="Line 201"/>
        <xdr:cNvSpPr>
          <a:spLocks noChangeShapeType="1"/>
        </xdr:cNvSpPr>
      </xdr:nvSpPr>
      <xdr:spPr bwMode="auto">
        <a:xfrm rot="5400000" flipV="1">
          <a:off x="4810128" y="1285877"/>
          <a:ext cx="1266825" cy="15525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arrow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19048</xdr:colOff>
      <xdr:row>14</xdr:row>
      <xdr:rowOff>180973</xdr:rowOff>
    </xdr:from>
    <xdr:to>
      <xdr:col>11</xdr:col>
      <xdr:colOff>380999</xdr:colOff>
      <xdr:row>17</xdr:row>
      <xdr:rowOff>133349</xdr:rowOff>
    </xdr:to>
    <xdr:sp macro="" textlink="">
      <xdr:nvSpPr>
        <xdr:cNvPr id="3" name="Line 201"/>
        <xdr:cNvSpPr>
          <a:spLocks noChangeShapeType="1"/>
        </xdr:cNvSpPr>
      </xdr:nvSpPr>
      <xdr:spPr bwMode="auto">
        <a:xfrm rot="10800000">
          <a:off x="6410323" y="2847973"/>
          <a:ext cx="971551" cy="523876"/>
        </a:xfrm>
        <a:prstGeom prst="line">
          <a:avLst/>
        </a:prstGeom>
        <a:noFill/>
        <a:ln w="12700">
          <a:solidFill>
            <a:srgbClr val="000000"/>
          </a:solidFill>
          <a:round/>
          <a:headEnd type="arrow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357158</xdr:colOff>
      <xdr:row>2</xdr:row>
      <xdr:rowOff>176236</xdr:rowOff>
    </xdr:from>
    <xdr:to>
      <xdr:col>15</xdr:col>
      <xdr:colOff>0</xdr:colOff>
      <xdr:row>17</xdr:row>
      <xdr:rowOff>75859</xdr:rowOff>
    </xdr:to>
    <xdr:grpSp>
      <xdr:nvGrpSpPr>
        <xdr:cNvPr id="85" name="Group 84"/>
        <xdr:cNvGrpSpPr/>
      </xdr:nvGrpSpPr>
      <xdr:grpSpPr>
        <a:xfrm>
          <a:off x="4014758" y="557236"/>
          <a:ext cx="5548342" cy="2852373"/>
          <a:chOff x="4014758" y="557236"/>
          <a:chExt cx="5548342" cy="2757123"/>
        </a:xfrm>
      </xdr:grpSpPr>
      <xdr:grpSp>
        <xdr:nvGrpSpPr>
          <xdr:cNvPr id="4" name="Group 3"/>
          <xdr:cNvGrpSpPr/>
        </xdr:nvGrpSpPr>
        <xdr:grpSpPr>
          <a:xfrm>
            <a:off x="4014758" y="557236"/>
            <a:ext cx="5548342" cy="2757123"/>
            <a:chOff x="4007517" y="557236"/>
            <a:chExt cx="5650819" cy="2757123"/>
          </a:xfrm>
        </xdr:grpSpPr>
        <xdr:sp macro="" textlink="">
          <xdr:nvSpPr>
            <xdr:cNvPr id="5" name="Line 201"/>
            <xdr:cNvSpPr>
              <a:spLocks noChangeShapeType="1"/>
            </xdr:cNvSpPr>
          </xdr:nvSpPr>
          <xdr:spPr bwMode="auto">
            <a:xfrm rot="5400000" flipH="1">
              <a:off x="8758237" y="2962275"/>
              <a:ext cx="166688" cy="4763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6" name="Group 5"/>
            <xdr:cNvGrpSpPr/>
          </xdr:nvGrpSpPr>
          <xdr:grpSpPr>
            <a:xfrm>
              <a:off x="4007517" y="557236"/>
              <a:ext cx="5650819" cy="2757123"/>
              <a:chOff x="4007517" y="557236"/>
              <a:chExt cx="5650819" cy="2757123"/>
            </a:xfrm>
          </xdr:grpSpPr>
          <xdr:grpSp>
            <xdr:nvGrpSpPr>
              <xdr:cNvPr id="7" name="Group 6"/>
              <xdr:cNvGrpSpPr/>
            </xdr:nvGrpSpPr>
            <xdr:grpSpPr>
              <a:xfrm>
                <a:off x="4007517" y="557236"/>
                <a:ext cx="5650819" cy="2757123"/>
                <a:chOff x="4007517" y="557236"/>
                <a:chExt cx="5650819" cy="2757123"/>
              </a:xfrm>
            </xdr:grpSpPr>
            <xdr:grpSp>
              <xdr:nvGrpSpPr>
                <xdr:cNvPr id="10" name="Group 9"/>
                <xdr:cNvGrpSpPr/>
              </xdr:nvGrpSpPr>
              <xdr:grpSpPr>
                <a:xfrm>
                  <a:off x="4007517" y="557236"/>
                  <a:ext cx="5650819" cy="2757123"/>
                  <a:chOff x="4007517" y="557236"/>
                  <a:chExt cx="5650819" cy="2757123"/>
                </a:xfrm>
              </xdr:grpSpPr>
              <xdr:grpSp>
                <xdr:nvGrpSpPr>
                  <xdr:cNvPr id="24" name="Group 23"/>
                  <xdr:cNvGrpSpPr/>
                </xdr:nvGrpSpPr>
                <xdr:grpSpPr>
                  <a:xfrm>
                    <a:off x="4007517" y="557236"/>
                    <a:ext cx="5650819" cy="2757123"/>
                    <a:chOff x="4007517" y="557236"/>
                    <a:chExt cx="5650819" cy="2757123"/>
                  </a:xfrm>
                </xdr:grpSpPr>
                <xdr:grpSp>
                  <xdr:nvGrpSpPr>
                    <xdr:cNvPr id="28" name="Group 27"/>
                    <xdr:cNvGrpSpPr/>
                  </xdr:nvGrpSpPr>
                  <xdr:grpSpPr>
                    <a:xfrm>
                      <a:off x="4007517" y="557236"/>
                      <a:ext cx="5650819" cy="2712581"/>
                      <a:chOff x="4007517" y="557236"/>
                      <a:chExt cx="5650819" cy="2712581"/>
                    </a:xfrm>
                  </xdr:grpSpPr>
                  <xdr:grpSp>
                    <xdr:nvGrpSpPr>
                      <xdr:cNvPr id="41" name="Group 40"/>
                      <xdr:cNvGrpSpPr/>
                    </xdr:nvGrpSpPr>
                    <xdr:grpSpPr>
                      <a:xfrm>
                        <a:off x="4007517" y="557236"/>
                        <a:ext cx="5650819" cy="2700313"/>
                        <a:chOff x="4007517" y="557236"/>
                        <a:chExt cx="5650819" cy="2700313"/>
                      </a:xfrm>
                    </xdr:grpSpPr>
                    <xdr:grpSp>
                      <xdr:nvGrpSpPr>
                        <xdr:cNvPr id="48" name="Group 47"/>
                        <xdr:cNvGrpSpPr/>
                      </xdr:nvGrpSpPr>
                      <xdr:grpSpPr>
                        <a:xfrm>
                          <a:off x="4007517" y="557236"/>
                          <a:ext cx="5650819" cy="2700313"/>
                          <a:chOff x="4007517" y="557236"/>
                          <a:chExt cx="5650819" cy="2700313"/>
                        </a:xfrm>
                      </xdr:grpSpPr>
                      <xdr:grpSp>
                        <xdr:nvGrpSpPr>
                          <xdr:cNvPr id="50" name="Group 49"/>
                          <xdr:cNvGrpSpPr/>
                        </xdr:nvGrpSpPr>
                        <xdr:grpSpPr>
                          <a:xfrm>
                            <a:off x="4007517" y="557236"/>
                            <a:ext cx="5650819" cy="2700313"/>
                            <a:chOff x="4007517" y="557236"/>
                            <a:chExt cx="5650819" cy="2700313"/>
                          </a:xfrm>
                        </xdr:grpSpPr>
                        <xdr:grpSp>
                          <xdr:nvGrpSpPr>
                            <xdr:cNvPr id="53" name="Group 52"/>
                            <xdr:cNvGrpSpPr/>
                          </xdr:nvGrpSpPr>
                          <xdr:grpSpPr>
                            <a:xfrm>
                              <a:off x="4007517" y="557236"/>
                              <a:ext cx="5650819" cy="2700313"/>
                              <a:chOff x="4014370" y="557236"/>
                              <a:chExt cx="5320130" cy="2700313"/>
                            </a:xfrm>
                          </xdr:grpSpPr>
                          <xdr:grpSp>
                            <xdr:nvGrpSpPr>
                              <xdr:cNvPr id="59" name="Group 58"/>
                              <xdr:cNvGrpSpPr/>
                            </xdr:nvGrpSpPr>
                            <xdr:grpSpPr>
                              <a:xfrm>
                                <a:off x="4014370" y="557236"/>
                                <a:ext cx="5320130" cy="2700313"/>
                                <a:chOff x="4014370" y="557236"/>
                                <a:chExt cx="5320130" cy="2700313"/>
                              </a:xfrm>
                            </xdr:grpSpPr>
                            <xdr:grpSp>
                              <xdr:nvGrpSpPr>
                                <xdr:cNvPr id="61" name="Group 60"/>
                                <xdr:cNvGrpSpPr/>
                              </xdr:nvGrpSpPr>
                              <xdr:grpSpPr>
                                <a:xfrm>
                                  <a:off x="4014370" y="557236"/>
                                  <a:ext cx="5320130" cy="2700313"/>
                                  <a:chOff x="4004845" y="166711"/>
                                  <a:chExt cx="5320130" cy="2700313"/>
                                </a:xfrm>
                              </xdr:grpSpPr>
                              <xdr:grpSp>
                                <xdr:nvGrpSpPr>
                                  <xdr:cNvPr id="64" name="Group 63"/>
                                  <xdr:cNvGrpSpPr/>
                                </xdr:nvGrpSpPr>
                                <xdr:grpSpPr>
                                  <a:xfrm>
                                    <a:off x="4087152" y="571500"/>
                                    <a:ext cx="5085373" cy="2295524"/>
                                    <a:chOff x="4087152" y="571500"/>
                                    <a:chExt cx="5085373" cy="2295524"/>
                                  </a:xfrm>
                                </xdr:grpSpPr>
                                <xdr:sp macro="" textlink="">
                                  <xdr:nvSpPr>
                                    <xdr:cNvPr id="79" name="Line 201"/>
                                    <xdr:cNvSpPr>
                                      <a:spLocks noChangeShapeType="1"/>
                                    </xdr:cNvSpPr>
                                  </xdr:nvSpPr>
                                  <xdr:spPr bwMode="auto">
                                    <a:xfrm flipH="1" flipV="1">
                                      <a:off x="4876800" y="571500"/>
                                      <a:ext cx="2419350" cy="2076450"/>
                                    </a:xfrm>
                                    <a:prstGeom prst="line">
                                      <a:avLst/>
                                    </a:prstGeom>
                                    <a:noFill/>
                                    <a:ln w="19050">
                                      <a:solidFill>
                                        <a:srgbClr val="000000"/>
                                      </a:solidFill>
                                      <a:round/>
                                      <a:headEnd/>
                                      <a:tailEnd/>
                                    </a:ln>
                                    <a:effectLst/>
                                    <a:extLst>
                                      <a:ext uri="{909E8E84-426E-40DD-AFC4-6F175D3DCCD1}">
                                        <a14:hiddenFill xmlns:a14="http://schemas.microsoft.com/office/drawing/2010/main">
                                          <a:noFill/>
                                        </a14:hiddenFill>
                                      </a:ext>
                                      <a:ext uri="{AF507438-7753-43E0-B8FC-AC1667EBCBE1}">
                                        <a14:hiddenEffects xmlns:a14="http://schemas.microsoft.com/office/drawing/2010/main">
                                          <a:effectLst>
                                            <a:outerShdw dist="35921" dir="2700000" algn="ctr" rotWithShape="0">
                                              <a:srgbClr val="808080"/>
                                            </a:outerShdw>
                                          </a:effectLst>
                                        </a14:hiddenEffects>
                                      </a:ext>
                                    </a:extLst>
                                  </xdr:spPr>
                                </xdr:sp>
                                <xdr:sp macro="" textlink="">
                                  <xdr:nvSpPr>
                                    <xdr:cNvPr id="80" name="Line 201"/>
                                    <xdr:cNvSpPr>
                                      <a:spLocks noChangeShapeType="1"/>
                                    </xdr:cNvSpPr>
                                  </xdr:nvSpPr>
                                  <xdr:spPr bwMode="auto">
                                    <a:xfrm flipH="1" flipV="1">
                                      <a:off x="7296148" y="2657472"/>
                                      <a:ext cx="1275547" cy="2"/>
                                    </a:xfrm>
                                    <a:prstGeom prst="line">
                                      <a:avLst/>
                                    </a:prstGeom>
                                    <a:noFill/>
                                    <a:ln w="19050">
                                      <a:solidFill>
                                        <a:srgbClr val="000000"/>
                                      </a:solidFill>
                                      <a:round/>
                                      <a:headEnd/>
                                      <a:tailEnd/>
                                    </a:ln>
                                    <a:effectLst/>
                                    <a:extLst>
                                      <a:ext uri="{909E8E84-426E-40DD-AFC4-6F175D3DCCD1}">
                                        <a14:hiddenFill xmlns:a14="http://schemas.microsoft.com/office/drawing/2010/main">
                                          <a:noFill/>
                                        </a14:hiddenFill>
                                      </a:ext>
                                      <a:ext uri="{AF507438-7753-43E0-B8FC-AC1667EBCBE1}">
                                        <a14:hiddenEffects xmlns:a14="http://schemas.microsoft.com/office/drawing/2010/main">
                                          <a:effectLst>
                                            <a:outerShdw dist="35921" dir="2700000" algn="ctr" rotWithShape="0">
                                              <a:srgbClr val="808080"/>
                                            </a:outerShdw>
                                          </a:effectLst>
                                        </a14:hiddenEffects>
                                      </a:ext>
                                    </a:extLst>
                                  </xdr:spPr>
                                </xdr:sp>
                                <xdr:sp macro="" textlink="">
                                  <xdr:nvSpPr>
                                    <xdr:cNvPr id="81" name="Line 201"/>
                                    <xdr:cNvSpPr>
                                      <a:spLocks noChangeShapeType="1"/>
                                    </xdr:cNvSpPr>
                                  </xdr:nvSpPr>
                                  <xdr:spPr bwMode="auto">
                                    <a:xfrm flipH="1" flipV="1">
                                      <a:off x="4087152" y="571500"/>
                                      <a:ext cx="789110" cy="0"/>
                                    </a:xfrm>
                                    <a:prstGeom prst="line">
                                      <a:avLst/>
                                    </a:prstGeom>
                                    <a:noFill/>
                                    <a:ln w="19050">
                                      <a:solidFill>
                                        <a:srgbClr val="000000"/>
                                      </a:solidFill>
                                      <a:round/>
                                      <a:headEnd/>
                                      <a:tailEnd/>
                                    </a:ln>
                                    <a:effectLst/>
                                    <a:extLst>
                                      <a:ext uri="{909E8E84-426E-40DD-AFC4-6F175D3DCCD1}">
                                        <a14:hiddenFill xmlns:a14="http://schemas.microsoft.com/office/drawing/2010/main">
                                          <a:noFill/>
                                        </a14:hiddenFill>
                                      </a:ext>
                                      <a:ext uri="{AF507438-7753-43E0-B8FC-AC1667EBCBE1}">
                                        <a14:hiddenEffects xmlns:a14="http://schemas.microsoft.com/office/drawing/2010/main">
                                          <a:effectLst>
                                            <a:outerShdw dist="35921" dir="2700000" algn="ctr" rotWithShape="0">
                                              <a:srgbClr val="808080"/>
                                            </a:outerShdw>
                                          </a:effectLst>
                                        </a14:hiddenEffects>
                                      </a:ext>
                                    </a:extLst>
                                  </xdr:spPr>
                                </xdr:sp>
                                <xdr:sp macro="" textlink="">
                                  <xdr:nvSpPr>
                                    <xdr:cNvPr id="82" name="Line 201"/>
                                    <xdr:cNvSpPr>
                                      <a:spLocks noChangeShapeType="1"/>
                                    </xdr:cNvSpPr>
                                  </xdr:nvSpPr>
                                  <xdr:spPr bwMode="auto">
                                    <a:xfrm flipH="1">
                                      <a:off x="8553760" y="2781300"/>
                                      <a:ext cx="4485" cy="85724"/>
                                    </a:xfrm>
                                    <a:prstGeom prst="line">
                                      <a:avLst/>
                                    </a:prstGeom>
                                    <a:noFill/>
                                    <a:ln w="19050">
                                      <a:solidFill>
                                        <a:srgbClr val="000000"/>
                                      </a:solidFill>
                                      <a:round/>
                                      <a:headEnd/>
                                      <a:tailEnd/>
                                    </a:ln>
                                    <a:effectLst/>
                                    <a:extLst>
                                      <a:ext uri="{909E8E84-426E-40DD-AFC4-6F175D3DCCD1}">
                                        <a14:hiddenFill xmlns:a14="http://schemas.microsoft.com/office/drawing/2010/main">
                                          <a:noFill/>
                                        </a14:hiddenFill>
                                      </a:ext>
                                      <a:ext uri="{AF507438-7753-43E0-B8FC-AC1667EBCBE1}">
                                        <a14:hiddenEffects xmlns:a14="http://schemas.microsoft.com/office/drawing/2010/main">
                                          <a:effectLst>
                                            <a:outerShdw dist="35921" dir="2700000" algn="ctr" rotWithShape="0">
                                              <a:srgbClr val="808080"/>
                                            </a:outerShdw>
                                          </a:effectLst>
                                        </a14:hiddenEffects>
                                      </a:ext>
                                    </a:extLst>
                                  </xdr:spPr>
                                </xdr:sp>
                                <xdr:sp macro="" textlink="">
                                  <xdr:nvSpPr>
                                    <xdr:cNvPr id="83" name="Line 201"/>
                                    <xdr:cNvSpPr>
                                      <a:spLocks noChangeShapeType="1"/>
                                    </xdr:cNvSpPr>
                                  </xdr:nvSpPr>
                                  <xdr:spPr bwMode="auto">
                                    <a:xfrm flipH="1">
                                      <a:off x="8553761" y="2500313"/>
                                      <a:ext cx="618764" cy="0"/>
                                    </a:xfrm>
                                    <a:prstGeom prst="line">
                                      <a:avLst/>
                                    </a:prstGeom>
                                    <a:noFill/>
                                    <a:ln w="19050">
                                      <a:solidFill>
                                        <a:srgbClr val="000000"/>
                                      </a:solidFill>
                                      <a:round/>
                                      <a:headEnd/>
                                      <a:tailEnd/>
                                    </a:ln>
                                    <a:effectLst/>
                                    <a:extLst>
                                      <a:ext uri="{909E8E84-426E-40DD-AFC4-6F175D3DCCD1}">
                                        <a14:hiddenFill xmlns:a14="http://schemas.microsoft.com/office/drawing/2010/main">
                                          <a:noFill/>
                                        </a14:hiddenFill>
                                      </a:ext>
                                      <a:ext uri="{AF507438-7753-43E0-B8FC-AC1667EBCBE1}">
                                        <a14:hiddenEffects xmlns:a14="http://schemas.microsoft.com/office/drawing/2010/main">
                                          <a:effectLst>
                                            <a:outerShdw dist="35921" dir="2700000" algn="ctr" rotWithShape="0">
                                              <a:srgbClr val="808080"/>
                                            </a:outerShdw>
                                          </a:effectLst>
                                        </a14:hiddenEffects>
                                      </a:ext>
                                    </a:extLst>
                                  </xdr:spPr>
                                </xdr:sp>
                              </xdr:grpSp>
                              <xdr:grpSp>
                                <xdr:nvGrpSpPr>
                                  <xdr:cNvPr id="65" name="Group 64"/>
                                  <xdr:cNvGrpSpPr/>
                                </xdr:nvGrpSpPr>
                                <xdr:grpSpPr>
                                  <a:xfrm>
                                    <a:off x="4004845" y="166711"/>
                                    <a:ext cx="5320130" cy="2519330"/>
                                    <a:chOff x="4004845" y="166711"/>
                                    <a:chExt cx="5320130" cy="2519330"/>
                                  </a:xfrm>
                                </xdr:grpSpPr>
                                <xdr:sp macro="" textlink="">
                                  <xdr:nvSpPr>
                                    <xdr:cNvPr id="66" name="Freeform 65"/>
                                    <xdr:cNvSpPr/>
                                  </xdr:nvSpPr>
                                  <xdr:spPr>
                                    <a:xfrm>
                                      <a:off x="4150073" y="247642"/>
                                      <a:ext cx="5012978" cy="2286770"/>
                                    </a:xfrm>
                                    <a:custGeom>
                                      <a:avLst/>
                                      <a:gdLst>
                                        <a:gd name="connsiteX0" fmla="*/ 0 w 4914900"/>
                                        <a:gd name="connsiteY0" fmla="*/ 178218 h 2424487"/>
                                        <a:gd name="connsiteX1" fmla="*/ 657225 w 4914900"/>
                                        <a:gd name="connsiteY1" fmla="*/ 216318 h 2424487"/>
                                        <a:gd name="connsiteX2" fmla="*/ 3076575 w 4914900"/>
                                        <a:gd name="connsiteY2" fmla="*/ 2330868 h 2424487"/>
                                        <a:gd name="connsiteX3" fmla="*/ 3762375 w 4914900"/>
                                        <a:gd name="connsiteY3" fmla="*/ 2035593 h 2424487"/>
                                        <a:gd name="connsiteX4" fmla="*/ 4305300 w 4914900"/>
                                        <a:gd name="connsiteY4" fmla="*/ 1883193 h 2424487"/>
                                        <a:gd name="connsiteX5" fmla="*/ 4914900 w 4914900"/>
                                        <a:gd name="connsiteY5" fmla="*/ 1883193 h 2424487"/>
                                        <a:gd name="connsiteX0" fmla="*/ 0 w 4844013"/>
                                        <a:gd name="connsiteY0" fmla="*/ 149856 h 2455088"/>
                                        <a:gd name="connsiteX1" fmla="*/ 586338 w 4844013"/>
                                        <a:gd name="connsiteY1" fmla="*/ 246919 h 2455088"/>
                                        <a:gd name="connsiteX2" fmla="*/ 3005688 w 4844013"/>
                                        <a:gd name="connsiteY2" fmla="*/ 2361469 h 2455088"/>
                                        <a:gd name="connsiteX3" fmla="*/ 3691488 w 4844013"/>
                                        <a:gd name="connsiteY3" fmla="*/ 2066194 h 2455088"/>
                                        <a:gd name="connsiteX4" fmla="*/ 4234413 w 4844013"/>
                                        <a:gd name="connsiteY4" fmla="*/ 1913794 h 2455088"/>
                                        <a:gd name="connsiteX5" fmla="*/ 4844013 w 4844013"/>
                                        <a:gd name="connsiteY5" fmla="*/ 1913794 h 2455088"/>
                                        <a:gd name="connsiteX0" fmla="*/ 0 w 4844013"/>
                                        <a:gd name="connsiteY0" fmla="*/ 109243 h 2414475"/>
                                        <a:gd name="connsiteX1" fmla="*/ 586338 w 4844013"/>
                                        <a:gd name="connsiteY1" fmla="*/ 206306 h 2414475"/>
                                        <a:gd name="connsiteX2" fmla="*/ 3005688 w 4844013"/>
                                        <a:gd name="connsiteY2" fmla="*/ 2320856 h 2414475"/>
                                        <a:gd name="connsiteX3" fmla="*/ 3691488 w 4844013"/>
                                        <a:gd name="connsiteY3" fmla="*/ 2025581 h 2414475"/>
                                        <a:gd name="connsiteX4" fmla="*/ 4234413 w 4844013"/>
                                        <a:gd name="connsiteY4" fmla="*/ 1873181 h 2414475"/>
                                        <a:gd name="connsiteX5" fmla="*/ 4844013 w 4844013"/>
                                        <a:gd name="connsiteY5" fmla="*/ 1873181 h 2414475"/>
                                        <a:gd name="connsiteX0" fmla="*/ 0 w 4844013"/>
                                        <a:gd name="connsiteY0" fmla="*/ 125457 h 2430689"/>
                                        <a:gd name="connsiteX1" fmla="*/ 311462 w 4844013"/>
                                        <a:gd name="connsiteY1" fmla="*/ 52493 h 2430689"/>
                                        <a:gd name="connsiteX2" fmla="*/ 586338 w 4844013"/>
                                        <a:gd name="connsiteY2" fmla="*/ 222520 h 2430689"/>
                                        <a:gd name="connsiteX3" fmla="*/ 3005688 w 4844013"/>
                                        <a:gd name="connsiteY3" fmla="*/ 2337070 h 2430689"/>
                                        <a:gd name="connsiteX4" fmla="*/ 3691488 w 4844013"/>
                                        <a:gd name="connsiteY4" fmla="*/ 2041795 h 2430689"/>
                                        <a:gd name="connsiteX5" fmla="*/ 4234413 w 4844013"/>
                                        <a:gd name="connsiteY5" fmla="*/ 1889395 h 2430689"/>
                                        <a:gd name="connsiteX6" fmla="*/ 4844013 w 4844013"/>
                                        <a:gd name="connsiteY6" fmla="*/ 1889395 h 2430689"/>
                                        <a:gd name="connsiteX0" fmla="*/ 0 w 4844013"/>
                                        <a:gd name="connsiteY0" fmla="*/ 122957 h 2428189"/>
                                        <a:gd name="connsiteX1" fmla="*/ 115099 w 4844013"/>
                                        <a:gd name="connsiteY1" fmla="*/ 54907 h 2428189"/>
                                        <a:gd name="connsiteX2" fmla="*/ 586338 w 4844013"/>
                                        <a:gd name="connsiteY2" fmla="*/ 220020 h 2428189"/>
                                        <a:gd name="connsiteX3" fmla="*/ 3005688 w 4844013"/>
                                        <a:gd name="connsiteY3" fmla="*/ 2334570 h 2428189"/>
                                        <a:gd name="connsiteX4" fmla="*/ 3691488 w 4844013"/>
                                        <a:gd name="connsiteY4" fmla="*/ 2039295 h 2428189"/>
                                        <a:gd name="connsiteX5" fmla="*/ 4234413 w 4844013"/>
                                        <a:gd name="connsiteY5" fmla="*/ 1886895 h 2428189"/>
                                        <a:gd name="connsiteX6" fmla="*/ 4844013 w 4844013"/>
                                        <a:gd name="connsiteY6" fmla="*/ 1886895 h 2428189"/>
                                        <a:gd name="connsiteX0" fmla="*/ 0 w 5012977"/>
                                        <a:gd name="connsiteY0" fmla="*/ 78734 h 2428189"/>
                                        <a:gd name="connsiteX1" fmla="*/ 284063 w 5012977"/>
                                        <a:gd name="connsiteY1" fmla="*/ 54907 h 2428189"/>
                                        <a:gd name="connsiteX2" fmla="*/ 755302 w 5012977"/>
                                        <a:gd name="connsiteY2" fmla="*/ 220020 h 2428189"/>
                                        <a:gd name="connsiteX3" fmla="*/ 3174652 w 5012977"/>
                                        <a:gd name="connsiteY3" fmla="*/ 2334570 h 2428189"/>
                                        <a:gd name="connsiteX4" fmla="*/ 3860452 w 5012977"/>
                                        <a:gd name="connsiteY4" fmla="*/ 2039295 h 2428189"/>
                                        <a:gd name="connsiteX5" fmla="*/ 4403377 w 5012977"/>
                                        <a:gd name="connsiteY5" fmla="*/ 1886895 h 2428189"/>
                                        <a:gd name="connsiteX6" fmla="*/ 5012977 w 5012977"/>
                                        <a:gd name="connsiteY6" fmla="*/ 1886895 h 2428189"/>
                                        <a:gd name="connsiteX0" fmla="*/ 0 w 5012977"/>
                                        <a:gd name="connsiteY0" fmla="*/ 103960 h 2453415"/>
                                        <a:gd name="connsiteX1" fmla="*/ 284063 w 5012977"/>
                                        <a:gd name="connsiteY1" fmla="*/ 80133 h 2453415"/>
                                        <a:gd name="connsiteX2" fmla="*/ 398227 w 5012977"/>
                                        <a:gd name="connsiteY2" fmla="*/ 26082 h 2453415"/>
                                        <a:gd name="connsiteX3" fmla="*/ 755302 w 5012977"/>
                                        <a:gd name="connsiteY3" fmla="*/ 245246 h 2453415"/>
                                        <a:gd name="connsiteX4" fmla="*/ 3174652 w 5012977"/>
                                        <a:gd name="connsiteY4" fmla="*/ 2359796 h 2453415"/>
                                        <a:gd name="connsiteX5" fmla="*/ 3860452 w 5012977"/>
                                        <a:gd name="connsiteY5" fmla="*/ 2064521 h 2453415"/>
                                        <a:gd name="connsiteX6" fmla="*/ 4403377 w 5012977"/>
                                        <a:gd name="connsiteY6" fmla="*/ 1912121 h 2453415"/>
                                        <a:gd name="connsiteX7" fmla="*/ 5012977 w 5012977"/>
                                        <a:gd name="connsiteY7" fmla="*/ 1912121 h 2453415"/>
                                        <a:gd name="connsiteX0" fmla="*/ 0 w 5012977"/>
                                        <a:gd name="connsiteY0" fmla="*/ 52226 h 2401681"/>
                                        <a:gd name="connsiteX1" fmla="*/ 284063 w 5012977"/>
                                        <a:gd name="connsiteY1" fmla="*/ 28399 h 2401681"/>
                                        <a:gd name="connsiteX2" fmla="*/ 471292 w 5012977"/>
                                        <a:gd name="connsiteY2" fmla="*/ 77534 h 2401681"/>
                                        <a:gd name="connsiteX3" fmla="*/ 755302 w 5012977"/>
                                        <a:gd name="connsiteY3" fmla="*/ 193512 h 2401681"/>
                                        <a:gd name="connsiteX4" fmla="*/ 3174652 w 5012977"/>
                                        <a:gd name="connsiteY4" fmla="*/ 2308062 h 2401681"/>
                                        <a:gd name="connsiteX5" fmla="*/ 3860452 w 5012977"/>
                                        <a:gd name="connsiteY5" fmla="*/ 2012787 h 2401681"/>
                                        <a:gd name="connsiteX6" fmla="*/ 4403377 w 5012977"/>
                                        <a:gd name="connsiteY6" fmla="*/ 1860387 h 2401681"/>
                                        <a:gd name="connsiteX7" fmla="*/ 5012977 w 5012977"/>
                                        <a:gd name="connsiteY7" fmla="*/ 1860387 h 2401681"/>
                                        <a:gd name="connsiteX0" fmla="*/ 0 w 5012977"/>
                                        <a:gd name="connsiteY0" fmla="*/ 28751 h 2359336"/>
                                        <a:gd name="connsiteX1" fmla="*/ 284063 w 5012977"/>
                                        <a:gd name="connsiteY1" fmla="*/ 4924 h 2359336"/>
                                        <a:gd name="connsiteX2" fmla="*/ 471292 w 5012977"/>
                                        <a:gd name="connsiteY2" fmla="*/ 54059 h 2359336"/>
                                        <a:gd name="connsiteX3" fmla="*/ 1084098 w 5012977"/>
                                        <a:gd name="connsiteY3" fmla="*/ 455027 h 2359336"/>
                                        <a:gd name="connsiteX4" fmla="*/ 3174652 w 5012977"/>
                                        <a:gd name="connsiteY4" fmla="*/ 2284587 h 2359336"/>
                                        <a:gd name="connsiteX5" fmla="*/ 3860452 w 5012977"/>
                                        <a:gd name="connsiteY5" fmla="*/ 1989312 h 2359336"/>
                                        <a:gd name="connsiteX6" fmla="*/ 4403377 w 5012977"/>
                                        <a:gd name="connsiteY6" fmla="*/ 1836912 h 2359336"/>
                                        <a:gd name="connsiteX7" fmla="*/ 5012977 w 5012977"/>
                                        <a:gd name="connsiteY7" fmla="*/ 1836912 h 2359336"/>
                                      </a:gdLst>
                                      <a:ahLst/>
                                      <a:cxnLst>
                                        <a:cxn ang="0">
                                          <a:pos x="connsiteX0" y="connsiteY0"/>
                                        </a:cxn>
                                        <a:cxn ang="0">
                                          <a:pos x="connsiteX1" y="connsiteY1"/>
                                        </a:cxn>
                                        <a:cxn ang="0">
                                          <a:pos x="connsiteX2" y="connsiteY2"/>
                                        </a:cxn>
                                        <a:cxn ang="0">
                                          <a:pos x="connsiteX3" y="connsiteY3"/>
                                        </a:cxn>
                                        <a:cxn ang="0">
                                          <a:pos x="connsiteX4" y="connsiteY4"/>
                                        </a:cxn>
                                        <a:cxn ang="0">
                                          <a:pos x="connsiteX5" y="connsiteY5"/>
                                        </a:cxn>
                                        <a:cxn ang="0">
                                          <a:pos x="connsiteX6" y="connsiteY6"/>
                                        </a:cxn>
                                        <a:cxn ang="0">
                                          <a:pos x="connsiteX7" y="connsiteY7"/>
                                        </a:cxn>
                                      </a:cxnLst>
                                      <a:rect l="l" t="t" r="r" b="b"/>
                                      <a:pathLst>
                                        <a:path w="5012977" h="2359336">
                                          <a:moveTo>
                                            <a:pt x="0" y="28751"/>
                                          </a:moveTo>
                                          <a:cubicBezTo>
                                            <a:pt x="51910" y="16590"/>
                                            <a:pt x="186340" y="-11253"/>
                                            <a:pt x="284063" y="4924"/>
                                          </a:cubicBezTo>
                                          <a:cubicBezTo>
                                            <a:pt x="350434" y="-8056"/>
                                            <a:pt x="392752" y="26540"/>
                                            <a:pt x="471292" y="54059"/>
                                          </a:cubicBezTo>
                                          <a:cubicBezTo>
                                            <a:pt x="549832" y="81578"/>
                                            <a:pt x="633538" y="83272"/>
                                            <a:pt x="1084098" y="455027"/>
                                          </a:cubicBezTo>
                                          <a:cubicBezTo>
                                            <a:pt x="1534658" y="826782"/>
                                            <a:pt x="2711926" y="2028873"/>
                                            <a:pt x="3174652" y="2284587"/>
                                          </a:cubicBezTo>
                                          <a:cubicBezTo>
                                            <a:pt x="3637378" y="2540301"/>
                                            <a:pt x="3655665" y="2063924"/>
                                            <a:pt x="3860452" y="1989312"/>
                                          </a:cubicBezTo>
                                          <a:cubicBezTo>
                                            <a:pt x="4065239" y="1914700"/>
                                            <a:pt x="4211290" y="1862312"/>
                                            <a:pt x="4403377" y="1836912"/>
                                          </a:cubicBezTo>
                                          <a:cubicBezTo>
                                            <a:pt x="4595464" y="1811512"/>
                                            <a:pt x="4804220" y="1824212"/>
                                            <a:pt x="5012977" y="1836912"/>
                                          </a:cubicBezTo>
                                        </a:path>
                                      </a:pathLst>
                                    </a:custGeom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  <xdr:txBody>
                                    <a:bodyPr vertOverflow="clip" horzOverflow="clip" rtlCol="0" anchor="t"/>
                                    <a:lstStyle/>
                                    <a:p>
                                      <a:pPr algn="l"/>
                                      <a:endParaRPr lang="en-US" sz="1100"/>
                                    </a:p>
                                  </xdr:txBody>
                                </xdr:sp>
                                <xdr:grpSp>
                                  <xdr:nvGrpSpPr>
                                    <xdr:cNvPr id="67" name="Group 66"/>
                                    <xdr:cNvGrpSpPr/>
                                  </xdr:nvGrpSpPr>
                                  <xdr:grpSpPr>
                                    <a:xfrm>
                                      <a:off x="4004845" y="166711"/>
                                      <a:ext cx="342901" cy="904875"/>
                                      <a:chOff x="5891357" y="2957783"/>
                                      <a:chExt cx="638175" cy="1571623"/>
                                    </a:xfrm>
                                  </xdr:grpSpPr>
                                  <xdr:sp macro="" textlink="">
                                    <xdr:nvSpPr>
                                      <xdr:cNvPr id="74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 flipV="1">
                                        <a:off x="5891359" y="3743593"/>
                                        <a:ext cx="638173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5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>
                                        <a:off x="6150050" y="3743593"/>
                                        <a:ext cx="369956" cy="14062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6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rot="5400000" flipH="1" flipV="1">
                                        <a:off x="5891357" y="3276870"/>
                                        <a:ext cx="638174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7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rot="5400000" flipH="1" flipV="1">
                                        <a:off x="5834125" y="4210319"/>
                                        <a:ext cx="638174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8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>
                                        <a:off x="5891357" y="3591193"/>
                                        <a:ext cx="314325" cy="142874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</xdr:grpSp>
                                <xdr:grpSp>
                                  <xdr:nvGrpSpPr>
                                    <xdr:cNvPr id="68" name="Group 67"/>
                                    <xdr:cNvGrpSpPr/>
                                  </xdr:nvGrpSpPr>
                                  <xdr:grpSpPr>
                                    <a:xfrm>
                                      <a:off x="8982074" y="1781166"/>
                                      <a:ext cx="342901" cy="904875"/>
                                      <a:chOff x="6095999" y="3015662"/>
                                      <a:chExt cx="638175" cy="1571623"/>
                                    </a:xfrm>
                                  </xdr:grpSpPr>
                                  <xdr:sp macro="" textlink="">
                                    <xdr:nvSpPr>
                                      <xdr:cNvPr id="69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 flipV="1">
                                        <a:off x="6096001" y="3801473"/>
                                        <a:ext cx="638173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0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>
                                        <a:off x="6410323" y="3801473"/>
                                        <a:ext cx="314326" cy="142874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1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rot="5400000" flipH="1" flipV="1">
                                        <a:off x="6096000" y="3334749"/>
                                        <a:ext cx="638174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2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rot="5400000" flipH="1" flipV="1">
                                        <a:off x="6105525" y="4268198"/>
                                        <a:ext cx="638174" cy="0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  <xdr:sp macro="" textlink="">
                                    <xdr:nvSpPr>
                                      <xdr:cNvPr id="73" name="Line 201"/>
                                      <xdr:cNvSpPr>
                                        <a:spLocks noChangeShapeType="1"/>
                                      </xdr:cNvSpPr>
                                    </xdr:nvSpPr>
                                    <xdr:spPr bwMode="auto">
                                      <a:xfrm flipH="1">
                                        <a:off x="6095999" y="3649074"/>
                                        <a:ext cx="314326" cy="142874"/>
                                      </a:xfrm>
                                      <a:prstGeom prst="line">
                                        <a:avLst/>
                                      </a:prstGeom>
                                      <a:noFill/>
                                      <a:ln w="19050">
                                        <a:solidFill>
                                          <a:srgbClr val="000000"/>
                                        </a:solidFill>
                                        <a:round/>
                                        <a:headEnd/>
                                        <a:tailEnd/>
                                      </a:ln>
                                      <a:effectLst/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noFill/>
                                          </a14:hiddenFill>
                                        </a:ext>
                                        <a:ext uri="{AF507438-7753-43E0-B8FC-AC1667EBCBE1}">
                                          <a14:hiddenEffects xmlns:a14="http://schemas.microsoft.com/office/drawing/2010/main">
                                            <a:effectLst>
                                              <a:outerShdw dist="35921" dir="2700000" algn="ctr" rotWithShape="0">
                                                <a:srgbClr val="808080"/>
                                              </a:outerShdw>
                                            </a:effectLst>
                                          </a14:hiddenEffects>
                                        </a:ext>
                                      </a:extLst>
                                    </xdr:spPr>
                                  </xdr:sp>
                                </xdr:grpSp>
                              </xdr:grpSp>
                            </xdr:grpSp>
                            <xdr:sp macro="" textlink="">
                              <xdr:nvSpPr>
                                <xdr:cNvPr id="62" name="Line 201"/>
                                <xdr:cNvSpPr>
                                  <a:spLocks noChangeShapeType="1"/>
                                </xdr:cNvSpPr>
                              </xdr:nvSpPr>
                              <xdr:spPr bwMode="auto">
                                <a:xfrm rot="10800000" flipH="1" flipV="1">
                                  <a:off x="4839031" y="962025"/>
                                  <a:ext cx="0" cy="962025"/>
                                </a:xfrm>
                                <a:prstGeom prst="line">
                                  <a:avLst/>
                                </a:prstGeom>
                                <a:noFill/>
                                <a:ln w="12700">
                                  <a:solidFill>
                                    <a:srgbClr val="000000"/>
                                  </a:solidFill>
                                  <a:round/>
                                  <a:headEnd type="arrow" w="med" len="med"/>
                                  <a:tailEnd type="none" w="med" len="med"/>
                                </a:ln>
                                <a:effectLst/>
                                <a:extLst>
                                  <a:ext uri="{909E8E84-426E-40DD-AFC4-6F175D3DCCD1}">
                                    <a14:hiddenFill xmlns:a14="http://schemas.microsoft.com/office/drawing/2010/main">
                                      <a:noFill/>
                                    </a14:hiddenFill>
                                  </a:ext>
                                  <a:ext uri="{AF507438-7753-43E0-B8FC-AC1667EBCBE1}">
                                    <a14:hiddenEffects xmlns:a14="http://schemas.microsoft.com/office/drawing/2010/main">
                                      <a:effectLst>
                                        <a:outerShdw dist="35921" dir="2700000" algn="ctr" rotWithShape="0">
                                          <a:srgbClr val="808080"/>
                                        </a:outerShdw>
                                      </a:effectLst>
                                    </a14:hiddenEffects>
                                  </a:ext>
                                </a:extLst>
                              </xdr:spPr>
                            </xdr:sp>
                            <xdr:sp macro="" textlink="">
                              <xdr:nvSpPr>
                                <xdr:cNvPr id="63" name="Line 201"/>
                                <xdr:cNvSpPr>
                                  <a:spLocks noChangeShapeType="1"/>
                                </xdr:cNvSpPr>
                              </xdr:nvSpPr>
                              <xdr:spPr bwMode="auto">
                                <a:xfrm rot="10800000" flipH="1">
                                  <a:off x="4811988" y="2133600"/>
                                  <a:ext cx="0" cy="914400"/>
                                </a:xfrm>
                                <a:prstGeom prst="line">
                                  <a:avLst/>
                                </a:prstGeom>
                                <a:noFill/>
                                <a:ln w="12700">
                                  <a:solidFill>
                                    <a:srgbClr val="000000"/>
                                  </a:solidFill>
                                  <a:round/>
                                  <a:headEnd type="arrow" w="med" len="med"/>
                                  <a:tailEnd type="none" w="med" len="med"/>
                                </a:ln>
                                <a:effectLst/>
                                <a:extLst>
                                  <a:ext uri="{909E8E84-426E-40DD-AFC4-6F175D3DCCD1}">
                                    <a14:hiddenFill xmlns:a14="http://schemas.microsoft.com/office/drawing/2010/main">
                                      <a:noFill/>
                                    </a14:hiddenFill>
                                  </a:ext>
                                  <a:ext uri="{AF507438-7753-43E0-B8FC-AC1667EBCBE1}">
                                    <a14:hiddenEffects xmlns:a14="http://schemas.microsoft.com/office/drawing/2010/main">
                                      <a:effectLst>
                                        <a:outerShdw dist="35921" dir="2700000" algn="ctr" rotWithShape="0">
                                          <a:srgbClr val="808080"/>
                                        </a:outerShdw>
                                      </a:effectLst>
                                    </a14:hiddenEffects>
                                  </a:ext>
                                </a:extLst>
                              </xdr:spPr>
                            </xdr:sp>
                          </xdr:grpSp>
                          <xdr:cxnSp macro="">
                            <xdr:nvCxnSpPr>
                              <xdr:cNvPr id="60" name="Straight Connector 59"/>
                              <xdr:cNvCxnSpPr/>
                            </xdr:nvCxnSpPr>
                            <xdr:spPr>
                              <a:xfrm flipV="1">
                                <a:off x="4495800" y="3052763"/>
                                <a:ext cx="357188" cy="4762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grpSp>
                          <xdr:nvGrpSpPr>
                            <xdr:cNvPr id="54" name="Group 53"/>
                            <xdr:cNvGrpSpPr/>
                          </xdr:nvGrpSpPr>
                          <xdr:grpSpPr>
                            <a:xfrm>
                              <a:off x="7734299" y="1609725"/>
                              <a:ext cx="800101" cy="485774"/>
                              <a:chOff x="7324724" y="1533525"/>
                              <a:chExt cx="800101" cy="485774"/>
                            </a:xfrm>
                          </xdr:grpSpPr>
                          <xdr:grpSp>
                            <xdr:nvGrpSpPr>
                              <xdr:cNvPr id="55" name="Group 54"/>
                              <xdr:cNvGrpSpPr/>
                            </xdr:nvGrpSpPr>
                            <xdr:grpSpPr>
                              <a:xfrm>
                                <a:off x="7451292" y="1533525"/>
                                <a:ext cx="673533" cy="459942"/>
                                <a:chOff x="7451292" y="1533525"/>
                                <a:chExt cx="673533" cy="459942"/>
                              </a:xfrm>
                            </xdr:grpSpPr>
                            <xdr:sp macro="" textlink="">
                              <xdr:nvSpPr>
                                <xdr:cNvPr id="57" name="Line 201"/>
                                <xdr:cNvSpPr>
                                  <a:spLocks noChangeShapeType="1"/>
                                </xdr:cNvSpPr>
                              </xdr:nvSpPr>
                              <xdr:spPr bwMode="auto">
                                <a:xfrm flipH="1" flipV="1">
                                  <a:off x="7451292" y="1540308"/>
                                  <a:ext cx="0" cy="367434"/>
                                </a:xfrm>
                                <a:prstGeom prst="line">
                                  <a:avLst/>
                                </a:prstGeom>
                                <a:noFill/>
                                <a:ln w="19050">
                                  <a:solidFill>
                                    <a:srgbClr val="000000"/>
                                  </a:solidFill>
                                  <a:round/>
                                  <a:headEnd/>
                                  <a:tailEnd/>
                                </a:ln>
                                <a:effectLst/>
                                <a:extLst>
                                  <a:ext uri="{909E8E84-426E-40DD-AFC4-6F175D3DCCD1}">
                                    <a14:hiddenFill xmlns:a14="http://schemas.microsoft.com/office/drawing/2010/main">
                                      <a:noFill/>
                                    </a14:hiddenFill>
                                  </a:ext>
                                  <a:ext uri="{AF507438-7753-43E0-B8FC-AC1667EBCBE1}">
                                    <a14:hiddenEffects xmlns:a14="http://schemas.microsoft.com/office/drawing/2010/main">
                                      <a:effectLst>
                                        <a:outerShdw dist="35921" dir="2700000" algn="ctr" rotWithShape="0">
                                          <a:srgbClr val="808080"/>
                                        </a:outerShdw>
                                      </a:effectLst>
                                    </a14:hiddenEffects>
                                  </a:ext>
                                </a:extLst>
                              </xdr:spPr>
                            </xdr:sp>
                            <xdr:sp macro="" textlink="">
                              <xdr:nvSpPr>
                                <xdr:cNvPr id="58" name="Line 201"/>
                                <xdr:cNvSpPr>
                                  <a:spLocks noChangeShapeType="1"/>
                                </xdr:cNvSpPr>
                              </xdr:nvSpPr>
                              <xdr:spPr bwMode="auto">
                                <a:xfrm flipV="1">
                                  <a:off x="8108517" y="1533525"/>
                                  <a:ext cx="16308" cy="459942"/>
                                </a:xfrm>
                                <a:prstGeom prst="line">
                                  <a:avLst/>
                                </a:prstGeom>
                                <a:noFill/>
                                <a:ln w="19050">
                                  <a:solidFill>
                                    <a:srgbClr val="000000"/>
                                  </a:solidFill>
                                  <a:round/>
                                  <a:headEnd/>
                                  <a:tailEnd/>
                                </a:ln>
                                <a:effectLst/>
                                <a:extLst>
                                  <a:ext uri="{909E8E84-426E-40DD-AFC4-6F175D3DCCD1}">
                                    <a14:hiddenFill xmlns:a14="http://schemas.microsoft.com/office/drawing/2010/main">
                                      <a:noFill/>
                                    </a14:hiddenFill>
                                  </a:ext>
                                  <a:ext uri="{AF507438-7753-43E0-B8FC-AC1667EBCBE1}">
                                    <a14:hiddenEffects xmlns:a14="http://schemas.microsoft.com/office/drawing/2010/main">
                                      <a:effectLst>
                                        <a:outerShdw dist="35921" dir="2700000" algn="ctr" rotWithShape="0">
                                          <a:srgbClr val="808080"/>
                                        </a:outerShdw>
                                      </a:effectLst>
                                    </a14:hiddenEffects>
                                  </a:ext>
                                </a:extLst>
                              </xdr:spPr>
                            </xdr:sp>
                          </xdr:grpSp>
                          <xdr:sp macro="" textlink="">
                            <xdr:nvSpPr>
                              <xdr:cNvPr id="56" name="Line 201"/>
                              <xdr:cNvSpPr>
                                <a:spLocks noChangeShapeType="1"/>
                              </xdr:cNvSpPr>
                            </xdr:nvSpPr>
                            <xdr:spPr bwMode="auto">
                              <a:xfrm rot="5400000" flipH="1" flipV="1">
                                <a:off x="7708468" y="1616506"/>
                                <a:ext cx="19049" cy="786537"/>
                              </a:xfrm>
                              <a:prstGeom prst="line">
                                <a:avLst/>
                              </a:prstGeom>
                              <a:noFill/>
                              <a:ln w="19050">
                                <a:solidFill>
                                  <a:srgbClr val="000000"/>
                                </a:solidFill>
                                <a:round/>
                                <a:headEnd/>
                                <a:tailEnd/>
                              </a:ln>
                              <a:effectLst/>
                              <a:extLst>
                                <a:ext uri="{909E8E84-426E-40DD-AFC4-6F175D3DCCD1}">
                                  <a14:hiddenFill xmlns:a14="http://schemas.microsoft.com/office/drawing/2010/main">
                                    <a:noFill/>
                                  </a14:hiddenFill>
                                </a:ext>
                                <a:ext uri="{AF507438-7753-43E0-B8FC-AC1667EBCBE1}">
                                  <a14:hiddenEffects xmlns:a14="http://schemas.microsoft.com/office/drawing/2010/main">
                                    <a:effectLst>
                                      <a:outerShdw dist="35921" dir="2700000" algn="ctr" rotWithShape="0">
                                        <a:srgbClr val="808080"/>
                                      </a:outerShdw>
                                    </a:effectLst>
                                  </a14:hiddenEffects>
                                </a:ext>
                              </a:extLst>
                            </xdr:spPr>
                          </xdr:sp>
                        </xdr:grpSp>
                      </xdr:grpSp>
                      <xdr:sp macro="" textlink="">
                        <xdr:nvSpPr>
                          <xdr:cNvPr id="51" name="Line 201"/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7724775" y="1609725"/>
                            <a:ext cx="19049" cy="472209"/>
                          </a:xfrm>
                          <a:prstGeom prst="line">
                            <a:avLst/>
                          </a:prstGeom>
                          <a:noFill/>
                          <a:ln w="19050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sp>
                      <xdr:sp macro="" textlink="">
                        <xdr:nvSpPr>
                          <xdr:cNvPr id="52" name="Line 201"/>
                          <xdr:cNvSpPr>
                            <a:spLocks noChangeShapeType="1"/>
                          </xdr:cNvSpPr>
                        </xdr:nvSpPr>
                        <xdr:spPr bwMode="auto">
                          <a:xfrm flipH="1" flipV="1">
                            <a:off x="8410574" y="1609725"/>
                            <a:ext cx="0" cy="367434"/>
                          </a:xfrm>
                          <a:prstGeom prst="line">
                            <a:avLst/>
                          </a:prstGeom>
                          <a:noFill/>
                          <a:ln w="19050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  <a:effectLst/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  <a:ext uri="{AF507438-7753-43E0-B8FC-AC1667EBCBE1}">
                              <a14:hiddenEffects xmlns:a14="http://schemas.microsoft.com/office/drawing/2010/main">
                                <a:effectLst>
                                  <a:outerShdw dist="35921" dir="2700000" algn="ctr" rotWithShape="0">
                                    <a:srgbClr val="808080"/>
                                  </a:outerShdw>
                                </a:effectLst>
                              </a14:hiddenEffects>
                            </a:ext>
                          </a:extLst>
                        </xdr:spPr>
                      </xdr:sp>
                    </xdr:grpSp>
                    <xdr:sp macro="" textlink="">
                      <xdr:nvSpPr>
                        <xdr:cNvPr id="49" name="Line 201"/>
                        <xdr:cNvSpPr>
                          <a:spLocks noChangeShapeType="1"/>
                        </xdr:cNvSpPr>
                      </xdr:nvSpPr>
                      <xdr:spPr bwMode="auto">
                        <a:xfrm flipH="1">
                          <a:off x="7858124" y="1971674"/>
                          <a:ext cx="561975" cy="1"/>
                        </a:xfrm>
                        <a:prstGeom prst="line">
                          <a:avLst/>
                        </a:prstGeom>
                        <a:noFill/>
                        <a:ln w="19050">
                          <a:solidFill>
                            <a:srgbClr val="000000"/>
                          </a:solidFill>
                          <a:round/>
                          <a:headEnd/>
                          <a:tailEnd/>
                        </a:ln>
                        <a:effectLst/>
                        <a:extLst>
                          <a:ext uri="{909E8E84-426E-40DD-AFC4-6F175D3DCCD1}">
                            <a14:hiddenFill xmlns:a14="http://schemas.microsoft.com/office/drawing/2010/main">
                              <a:noFill/>
                            </a14:hiddenFill>
                          </a:ext>
                          <a:ext uri="{AF507438-7753-43E0-B8FC-AC1667EBCBE1}">
                            <a14:hiddenEffects xmlns:a14="http://schemas.microsoft.com/office/drawing/2010/main">
                              <a:effectLst>
                                <a:outerShdw dist="35921" dir="2700000" algn="ctr" rotWithShape="0">
                                  <a:srgbClr val="808080"/>
                                </a:outerShdw>
                              </a:effectLst>
                            </a14:hiddenEffects>
                          </a:ext>
                        </a:extLst>
                      </xdr:spPr>
                    </xdr:sp>
                  </xdr:grpSp>
                  <xdr:sp macro="" textlink="">
                    <xdr:nvSpPr>
                      <xdr:cNvPr id="42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8919930" y="3170873"/>
                        <a:ext cx="0" cy="182880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3" name="Line 201"/>
                      <xdr:cNvSpPr>
                        <a:spLocks noChangeShapeType="1"/>
                      </xdr:cNvSpPr>
                    </xdr:nvSpPr>
                    <xdr:spPr bwMode="auto">
                      <a:xfrm flipV="1">
                        <a:off x="8994341" y="2976563"/>
                        <a:ext cx="2021" cy="293254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4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9244012" y="2738438"/>
                        <a:ext cx="0" cy="485775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5" name="Line 201"/>
                      <xdr:cNvSpPr>
                        <a:spLocks noChangeShapeType="1"/>
                      </xdr:cNvSpPr>
                    </xdr:nvSpPr>
                    <xdr:spPr bwMode="auto">
                      <a:xfrm rot="5400000" flipV="1">
                        <a:off x="8179596" y="2512221"/>
                        <a:ext cx="9525" cy="1328734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6" name="Line 201"/>
                      <xdr:cNvSpPr>
                        <a:spLocks noChangeShapeType="1"/>
                      </xdr:cNvSpPr>
                    </xdr:nvSpPr>
                    <xdr:spPr bwMode="auto">
                      <a:xfrm flipH="1" flipV="1">
                        <a:off x="4933949" y="1085850"/>
                        <a:ext cx="2581275" cy="2085975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7" name="Line 201"/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187521" y="1085848"/>
                        <a:ext cx="745031" cy="0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</xdr:grpSp>
                <xdr:grpSp>
                  <xdr:nvGrpSpPr>
                    <xdr:cNvPr id="29" name="Group 28"/>
                    <xdr:cNvGrpSpPr/>
                  </xdr:nvGrpSpPr>
                  <xdr:grpSpPr>
                    <a:xfrm rot="21014195">
                      <a:off x="4762500" y="1114424"/>
                      <a:ext cx="266703" cy="238126"/>
                      <a:chOff x="6477000" y="1190624"/>
                      <a:chExt cx="266703" cy="238126"/>
                    </a:xfrm>
                  </xdr:grpSpPr>
                  <xdr:sp macro="" textlink="">
                    <xdr:nvSpPr>
                      <xdr:cNvPr id="38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491288" y="1176336"/>
                        <a:ext cx="152399" cy="180976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39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577015" y="1262061"/>
                        <a:ext cx="152400" cy="180977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40" name="Line 201"/>
                      <xdr:cNvSpPr>
                        <a:spLocks noChangeShapeType="1"/>
                      </xdr:cNvSpPr>
                    </xdr:nvSpPr>
                    <xdr:spPr bwMode="auto">
                      <a:xfrm rot="5400000" flipV="1">
                        <a:off x="6496050" y="1333499"/>
                        <a:ext cx="66675" cy="104775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</xdr:grpSp>
                <xdr:grpSp>
                  <xdr:nvGrpSpPr>
                    <xdr:cNvPr id="30" name="Group 29"/>
                    <xdr:cNvGrpSpPr/>
                  </xdr:nvGrpSpPr>
                  <xdr:grpSpPr>
                    <a:xfrm rot="21014195">
                      <a:off x="5666737" y="1828853"/>
                      <a:ext cx="267346" cy="238126"/>
                      <a:chOff x="6476357" y="1190624"/>
                      <a:chExt cx="267346" cy="238126"/>
                    </a:xfrm>
                  </xdr:grpSpPr>
                  <xdr:sp macro="" textlink="">
                    <xdr:nvSpPr>
                      <xdr:cNvPr id="35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491288" y="1176336"/>
                        <a:ext cx="152399" cy="180976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36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577015" y="1262061"/>
                        <a:ext cx="152400" cy="180977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37" name="Line 201"/>
                      <xdr:cNvSpPr>
                        <a:spLocks noChangeShapeType="1"/>
                      </xdr:cNvSpPr>
                    </xdr:nvSpPr>
                    <xdr:spPr bwMode="auto">
                      <a:xfrm rot="5400000" flipV="1">
                        <a:off x="6477035" y="1329444"/>
                        <a:ext cx="93671" cy="95027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</xdr:grpSp>
                <xdr:grpSp>
                  <xdr:nvGrpSpPr>
                    <xdr:cNvPr id="31" name="Group 30"/>
                    <xdr:cNvGrpSpPr/>
                  </xdr:nvGrpSpPr>
                  <xdr:grpSpPr>
                    <a:xfrm rot="18533885">
                      <a:off x="7435207" y="3136983"/>
                      <a:ext cx="171863" cy="182890"/>
                      <a:chOff x="6477440" y="1136753"/>
                      <a:chExt cx="316157" cy="317752"/>
                    </a:xfrm>
                  </xdr:grpSpPr>
                  <xdr:sp macro="" textlink="">
                    <xdr:nvSpPr>
                      <xdr:cNvPr id="32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511848" y="1107170"/>
                        <a:ext cx="159721" cy="218887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33" name="Line 201"/>
                      <xdr:cNvSpPr>
                        <a:spLocks noChangeShapeType="1"/>
                      </xdr:cNvSpPr>
                    </xdr:nvSpPr>
                    <xdr:spPr bwMode="auto">
                      <a:xfrm rot="5400000" flipH="1" flipV="1">
                        <a:off x="6617333" y="1278241"/>
                        <a:ext cx="143662" cy="208866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  <xdr:sp macro="" textlink="">
                    <xdr:nvSpPr>
                      <xdr:cNvPr id="34" name="Line 201"/>
                      <xdr:cNvSpPr>
                        <a:spLocks noChangeShapeType="1"/>
                      </xdr:cNvSpPr>
                    </xdr:nvSpPr>
                    <xdr:spPr bwMode="auto">
                      <a:xfrm rot="5400000" flipV="1">
                        <a:off x="6468284" y="1305729"/>
                        <a:ext cx="122650" cy="104338"/>
                      </a:xfrm>
                      <a:prstGeom prst="line">
                        <a:avLst/>
                      </a:prstGeom>
                      <a:noFill/>
                      <a:ln w="19050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ffectLst/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  <a:ext uri="{AF507438-7753-43E0-B8FC-AC1667EBCBE1}">
                          <a14:hiddenEffects xmlns:a14="http://schemas.microsoft.com/office/drawing/2010/main">
                            <a:effectLst>
                              <a:outerShdw dist="35921" dir="2700000" algn="ctr" rotWithShape="0">
                                <a:srgbClr val="808080"/>
                              </a:outerShdw>
                            </a:effectLst>
                          </a14:hiddenEffects>
                        </a:ext>
                      </a:extLst>
                    </xdr:spPr>
                  </xdr:sp>
                </xdr:grpSp>
              </xdr:grpSp>
              <xdr:sp macro="" textlink="">
                <xdr:nvSpPr>
                  <xdr:cNvPr id="25" name="Line 201"/>
                  <xdr:cNvSpPr>
                    <a:spLocks noChangeShapeType="1"/>
                  </xdr:cNvSpPr>
                </xdr:nvSpPr>
                <xdr:spPr bwMode="auto">
                  <a:xfrm rot="4814195" flipH="1" flipV="1">
                    <a:off x="6577011" y="2586038"/>
                    <a:ext cx="180976" cy="152399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26" name="Line 201"/>
                  <xdr:cNvSpPr>
                    <a:spLocks noChangeShapeType="1"/>
                  </xdr:cNvSpPr>
                </xdr:nvSpPr>
                <xdr:spPr bwMode="auto">
                  <a:xfrm rot="4814195" flipH="1" flipV="1">
                    <a:off x="6676033" y="2655984"/>
                    <a:ext cx="180977" cy="152400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  <xdr:sp macro="" textlink="">
                <xdr:nvSpPr>
                  <xdr:cNvPr id="27" name="Line 201"/>
                  <xdr:cNvSpPr>
                    <a:spLocks noChangeShapeType="1"/>
                  </xdr:cNvSpPr>
                </xdr:nvSpPr>
                <xdr:spPr bwMode="auto">
                  <a:xfrm rot="4814195" flipV="1">
                    <a:off x="6602455" y="2741264"/>
                    <a:ext cx="96754" cy="84834"/>
                  </a:xfrm>
                  <a:prstGeom prst="line">
                    <a:avLst/>
                  </a:prstGeom>
                  <a:noFill/>
                  <a:ln w="19050">
                    <a:solidFill>
                      <a:srgbClr val="000000"/>
                    </a:solidFill>
                    <a:round/>
                    <a:headEnd/>
                    <a:tailEnd/>
                  </a:ln>
                  <a:effectLst/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  <a:ext uri="{AF507438-7753-43E0-B8FC-AC1667EBCBE1}">
                      <a14:hiddenEffects xmlns:a14="http://schemas.microsoft.com/office/drawing/2010/main">
                        <a:effectLst>
                          <a:outerShdw dist="35921" dir="2700000" algn="ctr" rotWithShape="0">
                            <a:srgbClr val="808080"/>
                          </a:outerShdw>
                        </a:effectLst>
                      </a14:hiddenEffects>
                    </a:ext>
                  </a:extLst>
                </xdr:spPr>
              </xdr:sp>
            </xdr:grpSp>
            <xdr:grpSp>
              <xdr:nvGrpSpPr>
                <xdr:cNvPr id="11" name="Group 10"/>
                <xdr:cNvGrpSpPr/>
              </xdr:nvGrpSpPr>
              <xdr:grpSpPr>
                <a:xfrm>
                  <a:off x="5913005" y="2001137"/>
                  <a:ext cx="1009650" cy="430890"/>
                  <a:chOff x="5913005" y="2001137"/>
                  <a:chExt cx="1009650" cy="430890"/>
                </a:xfrm>
              </xdr:grpSpPr>
              <xdr:grpSp>
                <xdr:nvGrpSpPr>
                  <xdr:cNvPr id="12" name="Group 11"/>
                  <xdr:cNvGrpSpPr/>
                </xdr:nvGrpSpPr>
                <xdr:grpSpPr>
                  <a:xfrm rot="2711474">
                    <a:off x="6183335" y="1730807"/>
                    <a:ext cx="364215" cy="904875"/>
                    <a:chOff x="10688659" y="959283"/>
                    <a:chExt cx="364215" cy="904875"/>
                  </a:xfrm>
                </xdr:grpSpPr>
                <xdr:sp macro="" textlink="">
                  <xdr:nvSpPr>
                    <xdr:cNvPr id="19" name="Line 201"/>
                    <xdr:cNvSpPr>
                      <a:spLocks noChangeShapeType="1"/>
                    </xdr:cNvSpPr>
                  </xdr:nvSpPr>
                  <xdr:spPr bwMode="auto">
                    <a:xfrm flipH="1" flipV="1">
                      <a:off x="10688660" y="1411720"/>
                      <a:ext cx="364214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20" name="Line 201"/>
                    <xdr:cNvSpPr>
                      <a:spLocks noChangeShapeType="1"/>
                    </xdr:cNvSpPr>
                  </xdr:nvSpPr>
                  <xdr:spPr bwMode="auto">
                    <a:xfrm flipH="1">
                      <a:off x="10868048" y="1411720"/>
                      <a:ext cx="179390" cy="8226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21" name="Line 201"/>
                    <xdr:cNvSpPr>
                      <a:spLocks noChangeShapeType="1"/>
                    </xdr:cNvSpPr>
                  </xdr:nvSpPr>
                  <xdr:spPr bwMode="auto">
                    <a:xfrm rot="10800000" flipH="1" flipV="1">
                      <a:off x="10870767" y="959283"/>
                      <a:ext cx="0" cy="367434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22" name="Line 201"/>
                    <xdr:cNvSpPr>
                      <a:spLocks noChangeShapeType="1"/>
                    </xdr:cNvSpPr>
                  </xdr:nvSpPr>
                  <xdr:spPr bwMode="auto">
                    <a:xfrm rot="10800000" flipH="1" flipV="1">
                      <a:off x="10876203" y="1496724"/>
                      <a:ext cx="0" cy="367434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23" name="Line 201"/>
                    <xdr:cNvSpPr>
                      <a:spLocks noChangeShapeType="1"/>
                    </xdr:cNvSpPr>
                  </xdr:nvSpPr>
                  <xdr:spPr bwMode="auto">
                    <a:xfrm flipH="1">
                      <a:off x="10688659" y="1323975"/>
                      <a:ext cx="179390" cy="8226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</xdr:grpSp>
              <xdr:grpSp>
                <xdr:nvGrpSpPr>
                  <xdr:cNvPr id="13" name="Group 12"/>
                  <xdr:cNvGrpSpPr/>
                </xdr:nvGrpSpPr>
                <xdr:grpSpPr>
                  <a:xfrm rot="2711474">
                    <a:off x="6288110" y="1797482"/>
                    <a:ext cx="364215" cy="904875"/>
                    <a:chOff x="10688659" y="959283"/>
                    <a:chExt cx="364215" cy="904875"/>
                  </a:xfrm>
                </xdr:grpSpPr>
                <xdr:sp macro="" textlink="">
                  <xdr:nvSpPr>
                    <xdr:cNvPr id="14" name="Line 201"/>
                    <xdr:cNvSpPr>
                      <a:spLocks noChangeShapeType="1"/>
                    </xdr:cNvSpPr>
                  </xdr:nvSpPr>
                  <xdr:spPr bwMode="auto">
                    <a:xfrm flipH="1" flipV="1">
                      <a:off x="10688660" y="1411720"/>
                      <a:ext cx="364214" cy="0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5" name="Line 201"/>
                    <xdr:cNvSpPr>
                      <a:spLocks noChangeShapeType="1"/>
                    </xdr:cNvSpPr>
                  </xdr:nvSpPr>
                  <xdr:spPr bwMode="auto">
                    <a:xfrm flipH="1">
                      <a:off x="10868048" y="1411720"/>
                      <a:ext cx="179390" cy="8226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6" name="Line 201"/>
                    <xdr:cNvSpPr>
                      <a:spLocks noChangeShapeType="1"/>
                    </xdr:cNvSpPr>
                  </xdr:nvSpPr>
                  <xdr:spPr bwMode="auto">
                    <a:xfrm rot="10800000" flipH="1" flipV="1">
                      <a:off x="10870767" y="959283"/>
                      <a:ext cx="0" cy="367434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7" name="Line 201"/>
                    <xdr:cNvSpPr>
                      <a:spLocks noChangeShapeType="1"/>
                    </xdr:cNvSpPr>
                  </xdr:nvSpPr>
                  <xdr:spPr bwMode="auto">
                    <a:xfrm rot="10800000" flipH="1" flipV="1">
                      <a:off x="10876203" y="1496724"/>
                      <a:ext cx="0" cy="367434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  <xdr:sp macro="" textlink="">
                  <xdr:nvSpPr>
                    <xdr:cNvPr id="18" name="Line 201"/>
                    <xdr:cNvSpPr>
                      <a:spLocks noChangeShapeType="1"/>
                    </xdr:cNvSpPr>
                  </xdr:nvSpPr>
                  <xdr:spPr bwMode="auto">
                    <a:xfrm flipH="1">
                      <a:off x="10688659" y="1323975"/>
                      <a:ext cx="179390" cy="82261"/>
                    </a:xfrm>
                    <a:prstGeom prst="line">
                      <a:avLst/>
                    </a:prstGeom>
                    <a:noFill/>
                    <a:ln w="1905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ffectLst/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  <a:ext uri="{AF507438-7753-43E0-B8FC-AC1667EBCBE1}">
                        <a14:hiddenEffects xmlns:a14="http://schemas.microsoft.com/office/drawing/2010/main">
                          <a:effectLst>
                            <a:outerShdw dist="35921" dir="2700000" algn="ctr" rotWithShape="0">
                              <a:srgbClr val="808080"/>
                            </a:outerShdw>
                          </a:effectLst>
                        </a14:hiddenEffects>
                      </a:ext>
                    </a:extLst>
                  </xdr:spPr>
                </xdr:sp>
              </xdr:grpSp>
            </xdr:grpSp>
          </xdr:grpSp>
          <xdr:sp macro="" textlink="">
            <xdr:nvSpPr>
              <xdr:cNvPr id="8" name="Line 201"/>
              <xdr:cNvSpPr>
                <a:spLocks noChangeShapeType="1"/>
              </xdr:cNvSpPr>
            </xdr:nvSpPr>
            <xdr:spPr bwMode="auto">
              <a:xfrm rot="10800000" flipH="1" flipV="1">
                <a:off x="7717154" y="1605915"/>
                <a:ext cx="137160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9" name="Line 201"/>
              <xdr:cNvSpPr>
                <a:spLocks noChangeShapeType="1"/>
              </xdr:cNvSpPr>
            </xdr:nvSpPr>
            <xdr:spPr bwMode="auto">
              <a:xfrm rot="10800000" flipH="1" flipV="1">
                <a:off x="8402954" y="1596390"/>
                <a:ext cx="137160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>
        <xdr:nvSpPr>
          <xdr:cNvPr id="84" name="Line 201"/>
          <xdr:cNvSpPr>
            <a:spLocks noChangeShapeType="1"/>
          </xdr:cNvSpPr>
        </xdr:nvSpPr>
        <xdr:spPr bwMode="auto">
          <a:xfrm rot="10800000" flipH="1" flipV="1">
            <a:off x="7458075" y="2865119"/>
            <a:ext cx="0" cy="1828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stealth" w="med" len="med"/>
            <a:tailEnd type="stealth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4"/>
  <sheetViews>
    <sheetView tabSelected="1" topLeftCell="J1" zoomScaleNormal="100" workbookViewId="0">
      <selection activeCell="AM13" sqref="AM13"/>
    </sheetView>
  </sheetViews>
  <sheetFormatPr defaultRowHeight="15" x14ac:dyDescent="0.25"/>
  <cols>
    <col min="8" max="8" width="6.85546875" customWidth="1"/>
    <col min="9" max="9" width="15.85546875" customWidth="1"/>
    <col min="12" max="12" width="10.5703125" bestFit="1" customWidth="1"/>
    <col min="15" max="15" width="9.5703125" bestFit="1" customWidth="1"/>
    <col min="16" max="18" width="0" hidden="1" customWidth="1"/>
    <col min="19" max="19" width="24" style="8" hidden="1" customWidth="1"/>
    <col min="20" max="20" width="6.5703125" style="8" hidden="1" customWidth="1"/>
    <col min="21" max="21" width="5.85546875" style="8" hidden="1" customWidth="1"/>
    <col min="22" max="22" width="6.5703125" style="8" hidden="1" customWidth="1"/>
    <col min="23" max="23" width="6.28515625" style="8" hidden="1" customWidth="1"/>
    <col min="24" max="24" width="5.28515625" style="8" hidden="1" customWidth="1"/>
    <col min="25" max="26" width="6.5703125" hidden="1" customWidth="1"/>
    <col min="27" max="27" width="6.28515625" hidden="1" customWidth="1"/>
    <col min="28" max="28" width="3.85546875" hidden="1" customWidth="1"/>
    <col min="29" max="29" width="6.5703125" hidden="1" customWidth="1"/>
    <col min="30" max="30" width="6.42578125" hidden="1" customWidth="1"/>
    <col min="31" max="31" width="5.7109375" hidden="1" customWidth="1"/>
    <col min="32" max="32" width="5.5703125" hidden="1" customWidth="1"/>
    <col min="33" max="33" width="3.85546875" hidden="1" customWidth="1"/>
    <col min="34" max="34" width="6.85546875" hidden="1" customWidth="1"/>
    <col min="36" max="36" width="7.5703125" customWidth="1"/>
    <col min="37" max="37" width="6.7109375" customWidth="1"/>
    <col min="38" max="38" width="6.42578125" customWidth="1"/>
    <col min="39" max="39" width="7.42578125" customWidth="1"/>
    <col min="40" max="40" width="7.5703125" customWidth="1"/>
    <col min="41" max="41" width="7.42578125" customWidth="1"/>
    <col min="42" max="42" width="7.5703125" customWidth="1"/>
    <col min="43" max="43" width="5.140625" customWidth="1"/>
    <col min="44" max="44" width="5.42578125" customWidth="1"/>
    <col min="45" max="45" width="6.28515625" customWidth="1"/>
    <col min="46" max="46" width="7.140625" customWidth="1"/>
    <col min="47" max="47" width="6.28515625" customWidth="1"/>
    <col min="48" max="48" width="5.5703125" customWidth="1"/>
    <col min="49" max="49" width="4.5703125" customWidth="1"/>
    <col min="50" max="50" width="6" customWidth="1"/>
    <col min="51" max="51" width="6.7109375" customWidth="1"/>
  </cols>
  <sheetData>
    <row r="1" spans="1:51" x14ac:dyDescent="0.25">
      <c r="A1" s="4" t="s">
        <v>105</v>
      </c>
      <c r="B1" s="5"/>
      <c r="C1" s="5"/>
      <c r="D1" s="5"/>
      <c r="E1" s="5"/>
      <c r="F1" s="6"/>
      <c r="N1" s="7"/>
      <c r="S1" s="8" t="s">
        <v>0</v>
      </c>
    </row>
    <row r="2" spans="1:51" ht="15" customHeight="1" x14ac:dyDescent="0.25">
      <c r="A2" s="9"/>
      <c r="B2" s="10"/>
      <c r="C2" s="10"/>
      <c r="D2" s="10"/>
      <c r="E2" s="10"/>
      <c r="F2" s="11"/>
      <c r="N2" s="7"/>
      <c r="S2" s="12" t="s">
        <v>1</v>
      </c>
      <c r="T2" s="163" t="s">
        <v>2</v>
      </c>
      <c r="U2" s="164"/>
      <c r="V2" s="164"/>
      <c r="W2" s="164"/>
      <c r="X2" s="164"/>
      <c r="Y2" s="163" t="s">
        <v>3</v>
      </c>
      <c r="Z2" s="164"/>
      <c r="AA2" s="164"/>
      <c r="AB2" s="164"/>
      <c r="AC2" s="165"/>
      <c r="AD2" s="166" t="s">
        <v>4</v>
      </c>
      <c r="AE2" s="166"/>
      <c r="AF2" s="166"/>
      <c r="AG2" s="166"/>
      <c r="AH2" s="166"/>
      <c r="AI2" s="167" t="s">
        <v>111</v>
      </c>
      <c r="AJ2" s="167" t="s">
        <v>116</v>
      </c>
      <c r="AK2" s="167" t="s">
        <v>117</v>
      </c>
      <c r="AL2" s="167" t="s">
        <v>115</v>
      </c>
      <c r="AM2" s="167" t="s">
        <v>118</v>
      </c>
      <c r="AN2" s="167" t="s">
        <v>107</v>
      </c>
      <c r="AO2" s="167" t="s">
        <v>110</v>
      </c>
      <c r="AP2" s="167" t="s">
        <v>109</v>
      </c>
      <c r="AQ2" s="167" t="s">
        <v>127</v>
      </c>
      <c r="AR2" s="167" t="s">
        <v>108</v>
      </c>
      <c r="AS2" s="167" t="s">
        <v>122</v>
      </c>
      <c r="AT2" s="167"/>
      <c r="AU2" s="167"/>
      <c r="AV2" s="167"/>
      <c r="AW2" s="167"/>
      <c r="AX2" s="167"/>
      <c r="AY2" s="167" t="s">
        <v>114</v>
      </c>
    </row>
    <row r="3" spans="1:51" ht="22.5" customHeight="1" x14ac:dyDescent="0.25">
      <c r="A3" s="13" t="s">
        <v>5</v>
      </c>
      <c r="B3" s="5"/>
      <c r="C3" s="5"/>
      <c r="D3" s="14">
        <v>295</v>
      </c>
      <c r="E3" s="5"/>
      <c r="F3" s="6"/>
      <c r="N3" s="7"/>
      <c r="S3" s="15" t="s">
        <v>5</v>
      </c>
      <c r="T3" s="16"/>
      <c r="U3" s="17">
        <f>D3</f>
        <v>295</v>
      </c>
      <c r="V3" s="18"/>
      <c r="W3" s="18"/>
      <c r="X3" s="18"/>
      <c r="Y3" s="19"/>
      <c r="Z3" s="17" t="e">
        <f>#REF!</f>
        <v>#REF!</v>
      </c>
      <c r="AA3" s="5"/>
      <c r="AB3" s="5"/>
      <c r="AC3" s="5"/>
      <c r="AD3" s="19"/>
      <c r="AE3" s="17" t="e">
        <f>#REF!</f>
        <v>#REF!</v>
      </c>
      <c r="AF3" s="5"/>
      <c r="AG3" s="5"/>
      <c r="AH3" s="5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76" t="s">
        <v>120</v>
      </c>
      <c r="AT3" s="176" t="s">
        <v>121</v>
      </c>
      <c r="AU3" s="176" t="s">
        <v>125</v>
      </c>
      <c r="AV3" s="176" t="s">
        <v>124</v>
      </c>
      <c r="AW3" s="176" t="s">
        <v>123</v>
      </c>
      <c r="AX3" s="176" t="s">
        <v>126</v>
      </c>
      <c r="AY3" s="167"/>
    </row>
    <row r="4" spans="1:51" x14ac:dyDescent="0.25">
      <c r="A4" s="20" t="s">
        <v>6</v>
      </c>
      <c r="B4" s="10"/>
      <c r="C4" s="10"/>
      <c r="D4" s="21">
        <v>10.5</v>
      </c>
      <c r="E4" s="10"/>
      <c r="F4" s="11"/>
      <c r="H4" t="s">
        <v>7</v>
      </c>
      <c r="K4" t="s">
        <v>8</v>
      </c>
      <c r="L4" s="22">
        <v>2521.7939499999998</v>
      </c>
      <c r="S4" s="23" t="s">
        <v>6</v>
      </c>
      <c r="T4" s="24"/>
      <c r="U4" s="25">
        <f>D4</f>
        <v>10.5</v>
      </c>
      <c r="V4" s="26"/>
      <c r="W4" s="26"/>
      <c r="X4" s="26"/>
      <c r="Y4" s="9"/>
      <c r="Z4" s="25" t="e">
        <f>#REF!</f>
        <v>#REF!</v>
      </c>
      <c r="AA4" s="10"/>
      <c r="AB4" s="10"/>
      <c r="AC4" s="10"/>
      <c r="AD4" s="9"/>
      <c r="AE4" s="25" t="e">
        <f>#REF!</f>
        <v>#REF!</v>
      </c>
      <c r="AF4" s="10"/>
      <c r="AG4" s="10"/>
      <c r="AH4" s="10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77"/>
      <c r="AT4" s="177"/>
      <c r="AU4" s="177"/>
      <c r="AV4" s="177"/>
      <c r="AW4" s="177"/>
      <c r="AX4" s="177"/>
      <c r="AY4" s="167"/>
    </row>
    <row r="5" spans="1:51" x14ac:dyDescent="0.25">
      <c r="A5" s="27" t="s">
        <v>10</v>
      </c>
      <c r="B5" s="28"/>
      <c r="C5" s="28"/>
      <c r="D5" s="28"/>
      <c r="E5" s="28"/>
      <c r="F5" s="29"/>
      <c r="H5">
        <v>2526.067</v>
      </c>
      <c r="S5" s="23"/>
      <c r="T5" s="24"/>
      <c r="U5" s="26"/>
      <c r="V5" s="26"/>
      <c r="W5" s="26"/>
      <c r="X5" s="26"/>
      <c r="Y5" s="9"/>
      <c r="Z5" s="10"/>
      <c r="AA5" s="10"/>
      <c r="AB5" s="10"/>
      <c r="AC5" s="10"/>
      <c r="AD5" s="30"/>
      <c r="AE5" s="28"/>
      <c r="AF5" s="28"/>
      <c r="AG5" s="28"/>
      <c r="AH5" s="29"/>
      <c r="AI5" s="169" t="s">
        <v>112</v>
      </c>
      <c r="AJ5" s="170">
        <f>H5</f>
        <v>2526.067</v>
      </c>
      <c r="AK5" s="171">
        <f>I11</f>
        <v>10.5</v>
      </c>
      <c r="AL5" s="171">
        <f>CEILING(E23,0.01)</f>
        <v>1.1500000000000001</v>
      </c>
      <c r="AM5" s="171">
        <f>N14-N16</f>
        <v>5.8747039125878473</v>
      </c>
      <c r="AN5" s="170">
        <f>N16</f>
        <v>2516.6270000000086</v>
      </c>
      <c r="AO5" s="173">
        <f>N14</f>
        <v>2522.5017039125964</v>
      </c>
      <c r="AP5" s="173">
        <f>O15</f>
        <v>2517.4270000000088</v>
      </c>
      <c r="AQ5" s="174">
        <f>AP5-AN5</f>
        <v>0.8000000000001819</v>
      </c>
      <c r="AR5" s="175">
        <f>M18</f>
        <v>24</v>
      </c>
      <c r="AS5" s="175">
        <f>B6</f>
        <v>575</v>
      </c>
      <c r="AT5" s="175">
        <f>CEILING(E16,0.01)</f>
        <v>3.94</v>
      </c>
      <c r="AU5" s="178">
        <f>CEILING(E20,0.0001)</f>
        <v>5.0000000000000001E-4</v>
      </c>
      <c r="AV5" s="174">
        <f>CEILING(E13,0.01)</f>
        <v>2.87</v>
      </c>
      <c r="AW5" s="175">
        <f>CEILING(M9,0.01)</f>
        <v>1</v>
      </c>
      <c r="AX5" s="175">
        <f>M12</f>
        <v>37.800000000000004</v>
      </c>
      <c r="AY5" s="175">
        <f>J15</f>
        <v>295</v>
      </c>
    </row>
    <row r="6" spans="1:51" x14ac:dyDescent="0.25">
      <c r="A6" s="33" t="s">
        <v>11</v>
      </c>
      <c r="B6" s="156">
        <v>575</v>
      </c>
      <c r="C6" s="34" t="s">
        <v>12</v>
      </c>
      <c r="D6" s="35">
        <f>F8+F6</f>
        <v>6</v>
      </c>
      <c r="E6" s="34" t="s">
        <v>13</v>
      </c>
      <c r="F6" s="36">
        <v>5</v>
      </c>
      <c r="S6" s="37" t="s">
        <v>14</v>
      </c>
      <c r="T6" s="38"/>
      <c r="U6" s="39"/>
      <c r="V6" s="40"/>
      <c r="W6" s="40"/>
      <c r="X6" s="41"/>
      <c r="Y6" s="5"/>
      <c r="Z6" s="42"/>
      <c r="AA6" s="39"/>
      <c r="AB6" s="39"/>
      <c r="AC6" s="40"/>
      <c r="AD6" s="43"/>
      <c r="AE6" s="44"/>
      <c r="AF6" s="5"/>
      <c r="AG6" s="5"/>
      <c r="AH6" s="6"/>
      <c r="AI6" s="169" t="s">
        <v>112</v>
      </c>
      <c r="AJ6" s="170"/>
      <c r="AK6" s="171"/>
      <c r="AL6" s="172"/>
      <c r="AM6" s="172"/>
      <c r="AN6" s="170"/>
      <c r="AO6" s="173"/>
      <c r="AP6" s="173"/>
      <c r="AQ6" s="174"/>
      <c r="AR6" s="175"/>
      <c r="AS6" s="173"/>
      <c r="AT6" s="173"/>
      <c r="AU6" s="173"/>
      <c r="AV6" s="173"/>
      <c r="AW6" s="173"/>
      <c r="AX6" s="173"/>
      <c r="AY6" s="173"/>
    </row>
    <row r="7" spans="1:51" x14ac:dyDescent="0.25">
      <c r="A7" s="45" t="s">
        <v>15</v>
      </c>
      <c r="B7" s="46">
        <v>0.71712349675344123</v>
      </c>
      <c r="C7" s="47" t="s">
        <v>16</v>
      </c>
      <c r="D7" s="10">
        <v>1.4E-2</v>
      </c>
      <c r="E7" s="48" t="s">
        <v>17</v>
      </c>
      <c r="F7" s="11">
        <v>5.0000000000000001E-3</v>
      </c>
      <c r="S7" s="49" t="s">
        <v>11</v>
      </c>
      <c r="T7" s="50">
        <f>B6</f>
        <v>575</v>
      </c>
      <c r="U7" s="51" t="str">
        <f t="shared" ref="U7:X9" si="0">C6</f>
        <v>D=</v>
      </c>
      <c r="V7" s="52">
        <f t="shared" si="0"/>
        <v>6</v>
      </c>
      <c r="W7" s="51" t="str">
        <f t="shared" si="0"/>
        <v>d=</v>
      </c>
      <c r="X7" s="53">
        <f t="shared" si="0"/>
        <v>5</v>
      </c>
      <c r="Y7" s="50" t="e">
        <f>#REF!</f>
        <v>#REF!</v>
      </c>
      <c r="Z7" s="51" t="s">
        <v>12</v>
      </c>
      <c r="AA7" s="52" t="e">
        <f>#REF!</f>
        <v>#REF!</v>
      </c>
      <c r="AB7" s="51" t="s">
        <v>13</v>
      </c>
      <c r="AC7" s="53" t="e">
        <f>#REF!</f>
        <v>#REF!</v>
      </c>
      <c r="AD7" s="50" t="e">
        <f>#REF!</f>
        <v>#REF!</v>
      </c>
      <c r="AE7" s="51" t="s">
        <v>12</v>
      </c>
      <c r="AF7" s="52" t="e">
        <f>#REF!</f>
        <v>#REF!</v>
      </c>
      <c r="AG7" s="51" t="s">
        <v>13</v>
      </c>
      <c r="AH7" s="53" t="e">
        <f>#REF!</f>
        <v>#REF!</v>
      </c>
      <c r="AI7" s="169" t="s">
        <v>112</v>
      </c>
      <c r="AJ7" s="170"/>
      <c r="AK7" s="171"/>
      <c r="AL7" s="172"/>
      <c r="AM7" s="172"/>
      <c r="AN7" s="170"/>
      <c r="AO7" s="173"/>
      <c r="AP7" s="173"/>
      <c r="AQ7" s="174"/>
      <c r="AR7" s="175"/>
      <c r="AS7" s="173"/>
      <c r="AT7" s="173"/>
      <c r="AU7" s="173"/>
      <c r="AV7" s="173"/>
      <c r="AW7" s="173"/>
      <c r="AX7" s="173"/>
      <c r="AY7" s="173"/>
    </row>
    <row r="8" spans="1:51" x14ac:dyDescent="0.25">
      <c r="A8" s="54" t="s">
        <v>18</v>
      </c>
      <c r="B8" s="55">
        <v>100</v>
      </c>
      <c r="C8" s="56" t="s">
        <v>19</v>
      </c>
      <c r="D8" s="57">
        <v>1</v>
      </c>
      <c r="E8" s="56" t="s">
        <v>20</v>
      </c>
      <c r="F8" s="29">
        <v>1</v>
      </c>
      <c r="J8" s="58"/>
      <c r="K8" s="59"/>
      <c r="S8" s="49" t="s">
        <v>15</v>
      </c>
      <c r="T8" s="50">
        <f t="shared" ref="T8:T9" si="1">B7</f>
        <v>0.71712349675344123</v>
      </c>
      <c r="U8" s="51" t="str">
        <f t="shared" si="0"/>
        <v>n=</v>
      </c>
      <c r="V8" s="60">
        <f t="shared" si="0"/>
        <v>1.4E-2</v>
      </c>
      <c r="W8" s="51" t="str">
        <f t="shared" si="0"/>
        <v>S=</v>
      </c>
      <c r="X8" s="61">
        <f t="shared" si="0"/>
        <v>5.0000000000000001E-3</v>
      </c>
      <c r="Y8" s="50" t="e">
        <f>#REF!</f>
        <v>#REF!</v>
      </c>
      <c r="Z8" s="51" t="s">
        <v>16</v>
      </c>
      <c r="AA8" s="60" t="e">
        <f>#REF!</f>
        <v>#REF!</v>
      </c>
      <c r="AB8" s="51" t="s">
        <v>17</v>
      </c>
      <c r="AC8" s="61" t="e">
        <f>#REF!</f>
        <v>#REF!</v>
      </c>
      <c r="AD8" s="50" t="e">
        <f>#REF!</f>
        <v>#REF!</v>
      </c>
      <c r="AE8" s="51" t="s">
        <v>16</v>
      </c>
      <c r="AF8" s="60" t="e">
        <f>#REF!</f>
        <v>#REF!</v>
      </c>
      <c r="AG8" s="51" t="s">
        <v>17</v>
      </c>
      <c r="AH8" s="61" t="e">
        <f>#REF!</f>
        <v>#REF!</v>
      </c>
      <c r="AI8" s="168" t="s">
        <v>119</v>
      </c>
    </row>
    <row r="9" spans="1:51" x14ac:dyDescent="0.25">
      <c r="A9" s="9"/>
      <c r="B9" s="10"/>
      <c r="C9" s="10"/>
      <c r="D9" s="10"/>
      <c r="E9" s="10"/>
      <c r="F9" s="11"/>
      <c r="M9" s="157">
        <f>D8</f>
        <v>1</v>
      </c>
      <c r="S9" s="62" t="s">
        <v>18</v>
      </c>
      <c r="T9" s="63">
        <f t="shared" si="1"/>
        <v>100</v>
      </c>
      <c r="U9" s="64" t="str">
        <f t="shared" si="0"/>
        <v>FB=</v>
      </c>
      <c r="V9" s="65">
        <f t="shared" si="0"/>
        <v>1</v>
      </c>
      <c r="W9" s="64" t="str">
        <f t="shared" si="0"/>
        <v>m=</v>
      </c>
      <c r="X9" s="66">
        <f t="shared" si="0"/>
        <v>1</v>
      </c>
      <c r="Y9" s="63" t="e">
        <f>#REF!</f>
        <v>#REF!</v>
      </c>
      <c r="Z9" s="64" t="s">
        <v>19</v>
      </c>
      <c r="AA9" s="65" t="e">
        <f>#REF!</f>
        <v>#REF!</v>
      </c>
      <c r="AB9" s="64" t="s">
        <v>20</v>
      </c>
      <c r="AC9" s="66" t="e">
        <f>#REF!</f>
        <v>#REF!</v>
      </c>
      <c r="AD9" s="63" t="e">
        <f>#REF!</f>
        <v>#REF!</v>
      </c>
      <c r="AE9" s="64" t="s">
        <v>19</v>
      </c>
      <c r="AF9" s="65" t="e">
        <f>#REF!</f>
        <v>#REF!</v>
      </c>
      <c r="AG9" s="64" t="s">
        <v>20</v>
      </c>
      <c r="AH9" s="66" t="e">
        <f>#REF!</f>
        <v>#REF!</v>
      </c>
    </row>
    <row r="10" spans="1:51" x14ac:dyDescent="0.25">
      <c r="A10" s="67" t="s">
        <v>21</v>
      </c>
      <c r="B10" s="5"/>
      <c r="C10" s="5"/>
      <c r="D10" s="5"/>
      <c r="E10" s="68" t="s">
        <v>16</v>
      </c>
      <c r="F10" s="69">
        <v>1.2E-2</v>
      </c>
      <c r="N10" s="70">
        <f>E13+D8</f>
        <v>3.867880344329981</v>
      </c>
      <c r="S10" s="71" t="s">
        <v>21</v>
      </c>
      <c r="T10" s="72" t="s">
        <v>16</v>
      </c>
      <c r="U10" s="26">
        <v>1.4E-2</v>
      </c>
      <c r="V10" s="26"/>
      <c r="W10" s="26"/>
      <c r="X10" s="73"/>
      <c r="Y10" s="72" t="s">
        <v>16</v>
      </c>
      <c r="Z10" s="26">
        <v>1.4E-2</v>
      </c>
      <c r="AA10" s="74"/>
      <c r="AB10" s="74"/>
      <c r="AC10" s="10"/>
      <c r="AD10" s="75" t="s">
        <v>16</v>
      </c>
      <c r="AE10" s="18">
        <v>1.4E-2</v>
      </c>
      <c r="AF10" s="5"/>
      <c r="AG10" s="5"/>
      <c r="AH10" s="6"/>
    </row>
    <row r="11" spans="1:51" x14ac:dyDescent="0.25">
      <c r="A11" s="76" t="s">
        <v>22</v>
      </c>
      <c r="B11" s="10"/>
      <c r="C11" s="10"/>
      <c r="D11" s="10"/>
      <c r="E11" s="77">
        <f>CEILING(0.734*B6/(F6^(3/2)),0.1)</f>
        <v>37.800000000000004</v>
      </c>
      <c r="F11" s="11"/>
      <c r="G11" s="1"/>
      <c r="H11" s="58" t="s">
        <v>18</v>
      </c>
      <c r="I11" s="78">
        <f>D4</f>
        <v>10.5</v>
      </c>
      <c r="N11">
        <v>0.2</v>
      </c>
      <c r="S11" s="23" t="s">
        <v>24</v>
      </c>
      <c r="T11" s="79">
        <f>E11</f>
        <v>37.800000000000004</v>
      </c>
      <c r="U11" s="80" t="s">
        <v>23</v>
      </c>
      <c r="V11" s="81">
        <f>G11</f>
        <v>0</v>
      </c>
      <c r="W11" s="26"/>
      <c r="X11" s="82"/>
      <c r="Y11" s="79" t="e">
        <f>#REF!</f>
        <v>#REF!</v>
      </c>
      <c r="Z11" s="80"/>
      <c r="AA11" s="83"/>
      <c r="AB11" s="83"/>
      <c r="AC11" s="84"/>
      <c r="AD11" s="79" t="e">
        <f>#REF!</f>
        <v>#REF!</v>
      </c>
      <c r="AE11" s="10"/>
      <c r="AF11" s="10"/>
      <c r="AG11" s="10"/>
      <c r="AH11" s="11"/>
      <c r="AI11" s="58" t="s">
        <v>106</v>
      </c>
      <c r="AJ11" s="161">
        <f>M12/E13</f>
        <v>13.180466219496743</v>
      </c>
    </row>
    <row r="12" spans="1:51" x14ac:dyDescent="0.25">
      <c r="A12" s="76" t="s">
        <v>25</v>
      </c>
      <c r="B12" s="10"/>
      <c r="C12" s="10"/>
      <c r="D12" s="10"/>
      <c r="E12" s="85">
        <f>B6/E11</f>
        <v>15.21164021164021</v>
      </c>
      <c r="F12" s="11"/>
      <c r="M12" s="158">
        <f>E11</f>
        <v>37.800000000000004</v>
      </c>
      <c r="S12" s="23" t="s">
        <v>25</v>
      </c>
      <c r="T12" s="79">
        <f t="shared" ref="T12:T21" si="2">E12</f>
        <v>15.21164021164021</v>
      </c>
      <c r="U12" s="86"/>
      <c r="V12" s="26"/>
      <c r="W12" s="26"/>
      <c r="X12" s="87"/>
      <c r="Y12" s="79" t="e">
        <f>#REF!</f>
        <v>#REF!</v>
      </c>
      <c r="Z12" s="86"/>
      <c r="AA12" s="10"/>
      <c r="AB12" s="10"/>
      <c r="AC12" s="10"/>
      <c r="AD12" s="79" t="e">
        <f>#REF!</f>
        <v>#REF!</v>
      </c>
      <c r="AE12" s="10"/>
      <c r="AF12" s="10"/>
      <c r="AG12" s="10"/>
      <c r="AH12" s="11"/>
    </row>
    <row r="13" spans="1:51" x14ac:dyDescent="0.25">
      <c r="A13" s="76" t="s">
        <v>26</v>
      </c>
      <c r="B13" s="10"/>
      <c r="C13" s="10"/>
      <c r="D13" s="10"/>
      <c r="E13" s="85">
        <f>(E12^2/9.81)^(1/3)</f>
        <v>2.867880344329981</v>
      </c>
      <c r="F13" s="11"/>
      <c r="S13" s="23" t="s">
        <v>27</v>
      </c>
      <c r="T13" s="79">
        <f t="shared" si="2"/>
        <v>2.867880344329981</v>
      </c>
      <c r="U13" s="86"/>
      <c r="V13" s="26"/>
      <c r="W13" s="26"/>
      <c r="X13" s="87"/>
      <c r="Y13" s="79" t="e">
        <f>#REF!</f>
        <v>#REF!</v>
      </c>
      <c r="Z13" s="86"/>
      <c r="AA13" s="10"/>
      <c r="AB13" s="10"/>
      <c r="AC13" s="10"/>
      <c r="AD13" s="79" t="e">
        <f>#REF!</f>
        <v>#REF!</v>
      </c>
      <c r="AE13" s="10"/>
      <c r="AF13" s="10"/>
      <c r="AG13" s="10"/>
      <c r="AH13" s="11"/>
    </row>
    <row r="14" spans="1:51" x14ac:dyDescent="0.25">
      <c r="A14" s="76" t="s">
        <v>28</v>
      </c>
      <c r="B14" s="10"/>
      <c r="C14" s="10"/>
      <c r="D14" s="10"/>
      <c r="E14" s="85">
        <f>E13+D8</f>
        <v>3.867880344329981</v>
      </c>
      <c r="F14" s="11"/>
      <c r="M14" s="58" t="s">
        <v>29</v>
      </c>
      <c r="N14" s="88">
        <f>F38</f>
        <v>2522.5017039125964</v>
      </c>
      <c r="S14" s="23" t="s">
        <v>28</v>
      </c>
      <c r="T14" s="79">
        <f t="shared" si="2"/>
        <v>3.867880344329981</v>
      </c>
      <c r="U14" s="86"/>
      <c r="V14" s="26"/>
      <c r="W14" s="26"/>
      <c r="X14" s="87"/>
      <c r="Y14" s="79" t="e">
        <f>#REF!</f>
        <v>#REF!</v>
      </c>
      <c r="Z14" s="86"/>
      <c r="AA14" s="10"/>
      <c r="AB14" s="10"/>
      <c r="AC14" s="10"/>
      <c r="AD14" s="79" t="e">
        <f>#REF!</f>
        <v>#REF!</v>
      </c>
      <c r="AE14" s="10"/>
      <c r="AF14" s="10"/>
      <c r="AG14" s="10"/>
      <c r="AH14" s="11"/>
    </row>
    <row r="15" spans="1:51" x14ac:dyDescent="0.25">
      <c r="A15" s="76" t="s">
        <v>30</v>
      </c>
      <c r="B15" s="10"/>
      <c r="C15" s="10"/>
      <c r="D15" s="10"/>
      <c r="E15" s="85">
        <f>E11*E14</f>
        <v>146.20587701567331</v>
      </c>
      <c r="F15" s="11"/>
      <c r="I15" s="58" t="s">
        <v>33</v>
      </c>
      <c r="J15" s="90">
        <f>D3</f>
        <v>295</v>
      </c>
      <c r="N15" s="58" t="s">
        <v>31</v>
      </c>
      <c r="O15" s="89">
        <f>IF((N16+E44)&gt;N16,(N16+E44),((N16+E44)+0.1))</f>
        <v>2517.4270000000088</v>
      </c>
      <c r="S15" s="23" t="s">
        <v>30</v>
      </c>
      <c r="T15" s="79">
        <f t="shared" si="2"/>
        <v>146.20587701567331</v>
      </c>
      <c r="U15" s="86"/>
      <c r="V15" s="26"/>
      <c r="W15" s="26"/>
      <c r="X15" s="87"/>
      <c r="Y15" s="79" t="e">
        <f>#REF!</f>
        <v>#REF!</v>
      </c>
      <c r="Z15" s="86"/>
      <c r="AA15" s="10"/>
      <c r="AB15" s="10"/>
      <c r="AC15" s="10"/>
      <c r="AD15" s="79" t="e">
        <f>#REF!</f>
        <v>#REF!</v>
      </c>
      <c r="AE15" s="10"/>
      <c r="AF15" s="10"/>
      <c r="AG15" s="10"/>
      <c r="AH15" s="11"/>
      <c r="AN15" t="s">
        <v>113</v>
      </c>
    </row>
    <row r="16" spans="1:51" x14ac:dyDescent="0.25">
      <c r="A16" s="76" t="s">
        <v>32</v>
      </c>
      <c r="B16" s="10"/>
      <c r="C16" s="10"/>
      <c r="D16" s="10"/>
      <c r="E16" s="85">
        <f>B6/E15</f>
        <v>3.9328104433063236</v>
      </c>
      <c r="F16" s="11"/>
      <c r="K16" s="58" t="s">
        <v>58</v>
      </c>
      <c r="L16" s="162">
        <f>E23</f>
        <v>1.1440999999999999</v>
      </c>
      <c r="M16" s="58"/>
      <c r="N16" s="91">
        <v>2516.6270000000086</v>
      </c>
      <c r="S16" s="23" t="s">
        <v>32</v>
      </c>
      <c r="T16" s="79">
        <f t="shared" si="2"/>
        <v>3.9328104433063236</v>
      </c>
      <c r="U16" s="86"/>
      <c r="V16" s="26"/>
      <c r="W16" s="26"/>
      <c r="X16" s="87"/>
      <c r="Y16" s="79" t="e">
        <f>#REF!</f>
        <v>#REF!</v>
      </c>
      <c r="Z16" s="86"/>
      <c r="AA16" s="10"/>
      <c r="AB16" s="10"/>
      <c r="AC16" s="10"/>
      <c r="AD16" s="79" t="e">
        <f>#REF!</f>
        <v>#REF!</v>
      </c>
      <c r="AE16" s="10"/>
      <c r="AF16" s="10"/>
      <c r="AG16" s="10"/>
      <c r="AH16" s="11"/>
    </row>
    <row r="17" spans="1:34" x14ac:dyDescent="0.25">
      <c r="A17" s="76" t="s">
        <v>34</v>
      </c>
      <c r="B17" s="10"/>
      <c r="C17" s="10"/>
      <c r="D17" s="10"/>
      <c r="E17" s="92">
        <f>E16^2/(2*9.81)</f>
        <v>0.78832813368905608</v>
      </c>
      <c r="F17" s="11"/>
      <c r="O17" s="1">
        <v>1.5</v>
      </c>
      <c r="S17" s="23" t="s">
        <v>34</v>
      </c>
      <c r="T17" s="79">
        <f t="shared" si="2"/>
        <v>0.78832813368905608</v>
      </c>
      <c r="U17" s="93"/>
      <c r="V17" s="26"/>
      <c r="W17" s="26"/>
      <c r="X17" s="87"/>
      <c r="Y17" s="79" t="e">
        <f>#REF!</f>
        <v>#REF!</v>
      </c>
      <c r="Z17" s="93"/>
      <c r="AA17" s="10"/>
      <c r="AB17" s="10"/>
      <c r="AC17" s="10"/>
      <c r="AD17" s="79" t="e">
        <f>#REF!</f>
        <v>#REF!</v>
      </c>
      <c r="AE17" s="10"/>
      <c r="AF17" s="10"/>
      <c r="AG17" s="10"/>
      <c r="AH17" s="11"/>
    </row>
    <row r="18" spans="1:34" x14ac:dyDescent="0.25">
      <c r="A18" s="76" t="s">
        <v>35</v>
      </c>
      <c r="B18" s="10"/>
      <c r="C18" s="10"/>
      <c r="D18" s="10"/>
      <c r="E18" s="85">
        <f>E11+2*E13</f>
        <v>43.535760688659963</v>
      </c>
      <c r="F18" s="11"/>
      <c r="L18" s="58" t="s">
        <v>36</v>
      </c>
      <c r="M18" s="94">
        <f>E40</f>
        <v>24</v>
      </c>
      <c r="S18" s="23" t="s">
        <v>37</v>
      </c>
      <c r="T18" s="79">
        <f t="shared" si="2"/>
        <v>43.535760688659963</v>
      </c>
      <c r="U18" s="86"/>
      <c r="V18" s="26"/>
      <c r="W18" s="26"/>
      <c r="X18" s="87"/>
      <c r="Y18" s="79" t="e">
        <f>#REF!</f>
        <v>#REF!</v>
      </c>
      <c r="Z18" s="86"/>
      <c r="AA18" s="10"/>
      <c r="AB18" s="10"/>
      <c r="AC18" s="10"/>
      <c r="AD18" s="79" t="e">
        <f>#REF!</f>
        <v>#REF!</v>
      </c>
      <c r="AE18" s="10"/>
      <c r="AF18" s="10"/>
      <c r="AG18" s="10"/>
      <c r="AH18" s="11"/>
    </row>
    <row r="19" spans="1:34" x14ac:dyDescent="0.25">
      <c r="A19" s="20" t="s">
        <v>38</v>
      </c>
      <c r="B19" s="10"/>
      <c r="C19" s="10"/>
      <c r="D19" s="10"/>
      <c r="E19" s="92">
        <f>E15/E18</f>
        <v>3.3582938417280599</v>
      </c>
      <c r="F19" s="11"/>
      <c r="H19" s="95" t="s">
        <v>39</v>
      </c>
      <c r="I19" s="96" t="s">
        <v>40</v>
      </c>
      <c r="J19" s="96" t="s">
        <v>41</v>
      </c>
      <c r="K19" s="95" t="s">
        <v>42</v>
      </c>
      <c r="L19" s="95" t="s">
        <v>9</v>
      </c>
      <c r="M19" s="95" t="s">
        <v>43</v>
      </c>
      <c r="N19" s="95" t="s">
        <v>44</v>
      </c>
      <c r="O19" s="97" t="s">
        <v>45</v>
      </c>
      <c r="S19" s="23" t="s">
        <v>38</v>
      </c>
      <c r="T19" s="79">
        <f t="shared" si="2"/>
        <v>3.3582938417280599</v>
      </c>
      <c r="U19" s="93"/>
      <c r="V19" s="26"/>
      <c r="W19" s="26"/>
      <c r="X19" s="87"/>
      <c r="Y19" s="79" t="e">
        <f>#REF!</f>
        <v>#REF!</v>
      </c>
      <c r="Z19" s="93"/>
      <c r="AA19" s="10"/>
      <c r="AB19" s="10"/>
      <c r="AC19" s="10"/>
      <c r="AD19" s="79" t="e">
        <f>#REF!</f>
        <v>#REF!</v>
      </c>
      <c r="AE19" s="10"/>
      <c r="AF19" s="10"/>
      <c r="AG19" s="10"/>
      <c r="AH19" s="11"/>
    </row>
    <row r="20" spans="1:34" ht="17.25" x14ac:dyDescent="0.25">
      <c r="A20" s="20" t="s">
        <v>46</v>
      </c>
      <c r="B20" s="10"/>
      <c r="C20" s="10"/>
      <c r="D20" s="10"/>
      <c r="E20" s="98">
        <f>((F10*E16)/E19^(2/3))^2</f>
        <v>4.4287068123408232E-4</v>
      </c>
      <c r="F20" s="11"/>
      <c r="H20" s="31">
        <v>1</v>
      </c>
      <c r="I20" s="99" t="s">
        <v>47</v>
      </c>
      <c r="J20" s="3"/>
      <c r="K20" s="3"/>
      <c r="L20" s="3"/>
      <c r="M20" s="3"/>
      <c r="N20" s="3"/>
      <c r="O20" s="3"/>
      <c r="S20" s="23" t="s">
        <v>48</v>
      </c>
      <c r="T20" s="100">
        <f t="shared" si="2"/>
        <v>4.4287068123408232E-4</v>
      </c>
      <c r="U20" s="101"/>
      <c r="V20" s="26"/>
      <c r="W20" s="26"/>
      <c r="X20" s="87"/>
      <c r="Y20" s="100" t="e">
        <f>#REF!</f>
        <v>#REF!</v>
      </c>
      <c r="Z20" s="101"/>
      <c r="AA20" s="10"/>
      <c r="AB20" s="10"/>
      <c r="AC20" s="10"/>
      <c r="AD20" s="100" t="e">
        <f>#REF!</f>
        <v>#REF!</v>
      </c>
      <c r="AE20" s="10"/>
      <c r="AF20" s="10"/>
      <c r="AG20" s="10"/>
      <c r="AH20" s="11"/>
    </row>
    <row r="21" spans="1:34" ht="18.75" x14ac:dyDescent="0.35">
      <c r="A21" s="20" t="s">
        <v>49</v>
      </c>
      <c r="B21" s="10"/>
      <c r="C21" s="10"/>
      <c r="D21" s="10"/>
      <c r="E21" s="102">
        <f>E13+E17+D4</f>
        <v>14.156208478019037</v>
      </c>
      <c r="F21" s="11"/>
      <c r="H21" s="32">
        <v>1.1000000000000001</v>
      </c>
      <c r="I21" s="103" t="s">
        <v>50</v>
      </c>
      <c r="J21" s="104" t="s">
        <v>51</v>
      </c>
      <c r="K21" s="3">
        <v>1</v>
      </c>
      <c r="L21" s="3">
        <f>B8*2</f>
        <v>200</v>
      </c>
      <c r="M21" s="105">
        <f>J15+M18</f>
        <v>319</v>
      </c>
      <c r="N21" s="3"/>
      <c r="O21" s="105">
        <f>(M21*L21)</f>
        <v>63800</v>
      </c>
      <c r="S21" s="23" t="s">
        <v>52</v>
      </c>
      <c r="T21" s="79">
        <f t="shared" si="2"/>
        <v>14.156208478019037</v>
      </c>
      <c r="U21" s="107"/>
      <c r="V21" s="108"/>
      <c r="W21" s="108"/>
      <c r="X21" s="109"/>
      <c r="Y21" s="79" t="e">
        <f>#REF!</f>
        <v>#REF!</v>
      </c>
      <c r="Z21" s="110"/>
      <c r="AA21" s="10"/>
      <c r="AB21" s="10"/>
      <c r="AC21" s="10"/>
      <c r="AD21" s="111" t="e">
        <f>#REF!</f>
        <v>#REF!</v>
      </c>
      <c r="AE21" s="28"/>
      <c r="AF21" s="28"/>
      <c r="AG21" s="28"/>
      <c r="AH21" s="29"/>
    </row>
    <row r="22" spans="1:34" x14ac:dyDescent="0.25">
      <c r="A22" s="112" t="s">
        <v>53</v>
      </c>
      <c r="B22" s="10"/>
      <c r="C22" s="10"/>
      <c r="D22" s="10"/>
      <c r="E22" s="10"/>
      <c r="F22" s="11"/>
      <c r="H22" s="32">
        <v>1.2</v>
      </c>
      <c r="I22" s="103" t="s">
        <v>54</v>
      </c>
      <c r="J22" s="104" t="s">
        <v>55</v>
      </c>
      <c r="K22" s="3">
        <f>K21</f>
        <v>1</v>
      </c>
      <c r="L22" s="3">
        <f>L21</f>
        <v>200</v>
      </c>
      <c r="M22" s="105">
        <f>M21</f>
        <v>319</v>
      </c>
      <c r="N22" s="113">
        <f>L4-N16</f>
        <v>5.166949999991175</v>
      </c>
      <c r="O22" s="114">
        <f>K22*L22*M22*N22</f>
        <v>329651.40999943699</v>
      </c>
      <c r="S22" s="115" t="s">
        <v>53</v>
      </c>
      <c r="T22" s="16"/>
      <c r="U22" s="18"/>
      <c r="V22" s="18"/>
      <c r="W22" s="18"/>
      <c r="X22" s="18"/>
      <c r="Y22" s="19"/>
      <c r="Z22" s="5"/>
      <c r="AA22" s="5"/>
      <c r="AB22" s="5"/>
      <c r="AC22" s="5"/>
      <c r="AD22" s="9"/>
      <c r="AE22" s="10"/>
      <c r="AF22" s="10"/>
      <c r="AG22" s="10"/>
      <c r="AH22" s="11"/>
    </row>
    <row r="23" spans="1:34" x14ac:dyDescent="0.25">
      <c r="A23" s="76" t="s">
        <v>56</v>
      </c>
      <c r="B23" s="10"/>
      <c r="C23" s="116" t="s">
        <v>57</v>
      </c>
      <c r="D23" s="10"/>
      <c r="E23" s="117">
        <v>1.1440999999999999</v>
      </c>
      <c r="F23" s="11"/>
      <c r="H23" s="31">
        <v>2</v>
      </c>
      <c r="I23" s="3"/>
      <c r="J23" s="3"/>
      <c r="K23" s="3"/>
      <c r="L23" s="3"/>
      <c r="M23" s="105"/>
      <c r="N23" s="3"/>
      <c r="O23" s="3"/>
      <c r="S23" s="23" t="s">
        <v>56</v>
      </c>
      <c r="T23" s="49" t="s">
        <v>58</v>
      </c>
      <c r="U23" s="118">
        <f>E23</f>
        <v>1.1440999999999999</v>
      </c>
      <c r="X23" s="26"/>
      <c r="Y23" s="49" t="s">
        <v>58</v>
      </c>
      <c r="Z23" s="118" t="e">
        <f>#REF!</f>
        <v>#REF!</v>
      </c>
      <c r="AA23" s="10"/>
      <c r="AB23" s="10"/>
      <c r="AC23" s="10"/>
      <c r="AD23" s="49" t="s">
        <v>58</v>
      </c>
      <c r="AE23" s="118" t="e">
        <f>#REF!</f>
        <v>#REF!</v>
      </c>
      <c r="AF23" s="10"/>
      <c r="AG23" s="10"/>
      <c r="AH23" s="11"/>
    </row>
    <row r="24" spans="1:34" x14ac:dyDescent="0.25">
      <c r="A24" s="76" t="s">
        <v>59</v>
      </c>
      <c r="B24" s="10"/>
      <c r="C24" s="85">
        <f>E11</f>
        <v>37.800000000000004</v>
      </c>
      <c r="D24" s="10"/>
      <c r="E24" s="10"/>
      <c r="F24" s="11"/>
      <c r="H24" s="2">
        <v>2.1</v>
      </c>
      <c r="I24" s="99" t="s">
        <v>60</v>
      </c>
      <c r="J24" s="2"/>
      <c r="K24" s="3"/>
      <c r="L24" s="3"/>
      <c r="M24" s="105"/>
      <c r="N24" s="3"/>
      <c r="O24" s="159">
        <f>SUM(O25:O31)</f>
        <v>4893.9351909589086</v>
      </c>
      <c r="S24" s="23" t="s">
        <v>59</v>
      </c>
      <c r="T24" s="119">
        <f>C24</f>
        <v>37.800000000000004</v>
      </c>
      <c r="U24" s="86"/>
      <c r="V24" s="26"/>
      <c r="W24" s="26"/>
      <c r="X24" s="26"/>
      <c r="Y24" s="119" t="e">
        <f>#REF!</f>
        <v>#REF!</v>
      </c>
      <c r="Z24" s="86"/>
      <c r="AA24" s="10"/>
      <c r="AB24" s="10"/>
      <c r="AC24" s="10"/>
      <c r="AD24" s="119" t="e">
        <f>#REF!</f>
        <v>#REF!</v>
      </c>
      <c r="AE24" s="10"/>
      <c r="AF24" s="10"/>
      <c r="AG24" s="10"/>
      <c r="AH24" s="11"/>
    </row>
    <row r="25" spans="1:34" x14ac:dyDescent="0.25">
      <c r="A25" s="76" t="s">
        <v>61</v>
      </c>
      <c r="B25" s="10"/>
      <c r="C25" s="102">
        <f>C24*E23</f>
        <v>43.246980000000001</v>
      </c>
      <c r="D25" s="10"/>
      <c r="E25" s="10"/>
      <c r="F25" s="11"/>
      <c r="H25" s="120" t="s">
        <v>62</v>
      </c>
      <c r="I25" s="3" t="s">
        <v>63</v>
      </c>
      <c r="J25" s="104" t="s">
        <v>55</v>
      </c>
      <c r="K25" s="121">
        <v>1</v>
      </c>
      <c r="L25" s="113">
        <f>E11</f>
        <v>37.800000000000004</v>
      </c>
      <c r="M25" s="105">
        <f>J15</f>
        <v>295</v>
      </c>
      <c r="N25" s="113">
        <f>N11</f>
        <v>0.2</v>
      </c>
      <c r="O25" s="114">
        <f>K25*L25*M25*N25</f>
        <v>2230.2000000000003</v>
      </c>
      <c r="S25" s="23" t="s">
        <v>61</v>
      </c>
      <c r="T25" s="119">
        <f t="shared" ref="T25:T34" si="3">C25</f>
        <v>43.246980000000001</v>
      </c>
      <c r="U25" s="110"/>
      <c r="V25" s="26"/>
      <c r="W25" s="26"/>
      <c r="X25" s="26"/>
      <c r="Y25" s="119" t="e">
        <f>#REF!</f>
        <v>#REF!</v>
      </c>
      <c r="Z25" s="110"/>
      <c r="AA25" s="10"/>
      <c r="AB25" s="10"/>
      <c r="AC25" s="10"/>
      <c r="AD25" s="119" t="e">
        <f>#REF!</f>
        <v>#REF!</v>
      </c>
      <c r="AE25" s="10"/>
      <c r="AF25" s="10"/>
      <c r="AG25" s="10"/>
      <c r="AH25" s="11"/>
    </row>
    <row r="26" spans="1:34" x14ac:dyDescent="0.25">
      <c r="A26" s="76" t="s">
        <v>64</v>
      </c>
      <c r="B26" s="10"/>
      <c r="C26" s="102">
        <f>B6/C25</f>
        <v>13.295726083069846</v>
      </c>
      <c r="D26" s="10"/>
      <c r="E26" s="10"/>
      <c r="F26" s="11"/>
      <c r="H26" s="120" t="s">
        <v>65</v>
      </c>
      <c r="I26" s="3" t="s">
        <v>66</v>
      </c>
      <c r="J26" s="104" t="s">
        <v>55</v>
      </c>
      <c r="K26" s="121">
        <v>2</v>
      </c>
      <c r="L26" s="3">
        <f>M9</f>
        <v>1</v>
      </c>
      <c r="M26" s="105">
        <f>M25</f>
        <v>295</v>
      </c>
      <c r="N26" s="113">
        <f>N10</f>
        <v>3.867880344329981</v>
      </c>
      <c r="O26" s="114">
        <f>K26*L26*M26*N26</f>
        <v>2282.0494031546887</v>
      </c>
      <c r="S26" s="23" t="s">
        <v>64</v>
      </c>
      <c r="T26" s="119">
        <f t="shared" si="3"/>
        <v>13.295726083069846</v>
      </c>
      <c r="U26" s="110"/>
      <c r="V26" s="26"/>
      <c r="W26" s="26"/>
      <c r="X26" s="26"/>
      <c r="Y26" s="119" t="e">
        <f>#REF!</f>
        <v>#REF!</v>
      </c>
      <c r="Z26" s="110"/>
      <c r="AA26" s="10"/>
      <c r="AB26" s="10"/>
      <c r="AC26" s="10"/>
      <c r="AD26" s="119" t="e">
        <f>#REF!</f>
        <v>#REF!</v>
      </c>
      <c r="AE26" s="10"/>
      <c r="AF26" s="10"/>
      <c r="AG26" s="10"/>
      <c r="AH26" s="11"/>
    </row>
    <row r="27" spans="1:34" x14ac:dyDescent="0.25">
      <c r="A27" s="76" t="s">
        <v>67</v>
      </c>
      <c r="B27" s="10"/>
      <c r="C27" s="92">
        <f>C26^2/(2*9.81)</f>
        <v>9.0100067317035588</v>
      </c>
      <c r="D27" s="10"/>
      <c r="E27" s="10"/>
      <c r="F27" s="11"/>
      <c r="H27" s="120" t="s">
        <v>68</v>
      </c>
      <c r="I27" s="3" t="s">
        <v>69</v>
      </c>
      <c r="J27" s="104" t="s">
        <v>55</v>
      </c>
      <c r="K27" s="121">
        <f>K25</f>
        <v>1</v>
      </c>
      <c r="L27" s="106">
        <f>E41</f>
        <v>0.8</v>
      </c>
      <c r="M27" s="105">
        <f>E40</f>
        <v>24</v>
      </c>
      <c r="N27" s="113">
        <f>N25</f>
        <v>0.2</v>
      </c>
      <c r="O27" s="113">
        <f t="shared" ref="O27:O37" si="4">K27*L27*M27*N27</f>
        <v>3.8400000000000007</v>
      </c>
      <c r="S27" s="23" t="s">
        <v>67</v>
      </c>
      <c r="T27" s="119">
        <f t="shared" si="3"/>
        <v>9.0100067317035588</v>
      </c>
      <c r="U27" s="93"/>
      <c r="V27" s="26"/>
      <c r="W27" s="26"/>
      <c r="X27" s="26"/>
      <c r="Y27" s="119" t="e">
        <f>#REF!</f>
        <v>#REF!</v>
      </c>
      <c r="Z27" s="93"/>
      <c r="AA27" s="10"/>
      <c r="AB27" s="10"/>
      <c r="AC27" s="10"/>
      <c r="AD27" s="119" t="e">
        <f>#REF!</f>
        <v>#REF!</v>
      </c>
      <c r="AE27" s="10"/>
      <c r="AF27" s="10"/>
      <c r="AG27" s="10"/>
      <c r="AH27" s="11"/>
    </row>
    <row r="28" spans="1:34" x14ac:dyDescent="0.25">
      <c r="A28" s="76" t="s">
        <v>70</v>
      </c>
      <c r="B28" s="10"/>
      <c r="C28" s="92">
        <f>C24+E23</f>
        <v>38.944100000000006</v>
      </c>
      <c r="D28" s="10"/>
      <c r="E28" s="10"/>
      <c r="F28" s="11"/>
      <c r="H28" s="120" t="s">
        <v>71</v>
      </c>
      <c r="I28" s="3" t="s">
        <v>72</v>
      </c>
      <c r="J28" s="104" t="s">
        <v>55</v>
      </c>
      <c r="K28" s="121">
        <v>2</v>
      </c>
      <c r="L28" s="3">
        <f>L26</f>
        <v>1</v>
      </c>
      <c r="M28" s="105">
        <f>M27</f>
        <v>24</v>
      </c>
      <c r="N28" s="106">
        <f>N14-N16+D8</f>
        <v>6.8747039125878473</v>
      </c>
      <c r="O28" s="113">
        <f t="shared" si="4"/>
        <v>329.98578780421667</v>
      </c>
      <c r="S28" s="23" t="s">
        <v>70</v>
      </c>
      <c r="T28" s="119">
        <f t="shared" si="3"/>
        <v>38.944100000000006</v>
      </c>
      <c r="U28" s="93"/>
      <c r="V28" s="26"/>
      <c r="W28" s="26"/>
      <c r="X28" s="26"/>
      <c r="Y28" s="119" t="e">
        <f>#REF!</f>
        <v>#REF!</v>
      </c>
      <c r="Z28" s="93"/>
      <c r="AA28" s="10"/>
      <c r="AB28" s="10"/>
      <c r="AC28" s="10"/>
      <c r="AD28" s="119" t="e">
        <f>#REF!</f>
        <v>#REF!</v>
      </c>
      <c r="AE28" s="10"/>
      <c r="AF28" s="10"/>
      <c r="AG28" s="10"/>
      <c r="AH28" s="11"/>
    </row>
    <row r="29" spans="1:34" x14ac:dyDescent="0.25">
      <c r="A29" s="76" t="s">
        <v>73</v>
      </c>
      <c r="B29" s="10"/>
      <c r="C29" s="92">
        <f>C25/C28</f>
        <v>1.1104886234371829</v>
      </c>
      <c r="D29" s="10"/>
      <c r="E29" s="10"/>
      <c r="F29" s="11"/>
      <c r="H29" s="120" t="s">
        <v>74</v>
      </c>
      <c r="I29" s="3" t="s">
        <v>75</v>
      </c>
      <c r="J29" s="104" t="s">
        <v>55</v>
      </c>
      <c r="K29" s="121">
        <f>K27</f>
        <v>1</v>
      </c>
      <c r="L29" s="106">
        <f>L27</f>
        <v>0.8</v>
      </c>
      <c r="M29" s="105">
        <f>M28</f>
        <v>24</v>
      </c>
      <c r="N29" s="113">
        <f>O15-N16</f>
        <v>0.8000000000001819</v>
      </c>
      <c r="O29" s="113">
        <f t="shared" si="4"/>
        <v>15.360000000003495</v>
      </c>
      <c r="S29" s="23" t="s">
        <v>73</v>
      </c>
      <c r="T29" s="119">
        <f t="shared" si="3"/>
        <v>1.1104886234371829</v>
      </c>
      <c r="U29" s="93"/>
      <c r="V29" s="26"/>
      <c r="W29" s="26"/>
      <c r="X29" s="26"/>
      <c r="Y29" s="119" t="e">
        <f>#REF!</f>
        <v>#REF!</v>
      </c>
      <c r="Z29" s="93"/>
      <c r="AA29" s="10"/>
      <c r="AB29" s="10"/>
      <c r="AC29" s="10"/>
      <c r="AD29" s="119" t="e">
        <f>#REF!</f>
        <v>#REF!</v>
      </c>
      <c r="AE29" s="10"/>
      <c r="AF29" s="10"/>
      <c r="AG29" s="10"/>
      <c r="AH29" s="11"/>
    </row>
    <row r="30" spans="1:34" x14ac:dyDescent="0.25">
      <c r="A30" s="76" t="s">
        <v>76</v>
      </c>
      <c r="B30" s="10"/>
      <c r="C30" s="122">
        <f>((F10*C26)/C29^(2/3))^2</f>
        <v>2.2136100895930915E-2</v>
      </c>
      <c r="D30" s="10"/>
      <c r="E30" s="10"/>
      <c r="F30" s="11"/>
      <c r="H30" s="120" t="s">
        <v>77</v>
      </c>
      <c r="I30" s="3" t="s">
        <v>78</v>
      </c>
      <c r="J30" s="104" t="s">
        <v>55</v>
      </c>
      <c r="K30" s="121">
        <f>J15/10</f>
        <v>29.5</v>
      </c>
      <c r="L30" s="106">
        <f>L28</f>
        <v>1</v>
      </c>
      <c r="M30" s="105">
        <f>L30</f>
        <v>1</v>
      </c>
      <c r="N30" s="106">
        <f>M30</f>
        <v>1</v>
      </c>
      <c r="O30" s="113">
        <f t="shared" si="4"/>
        <v>29.5</v>
      </c>
      <c r="S30" s="23" t="s">
        <v>76</v>
      </c>
      <c r="T30" s="119">
        <f t="shared" si="3"/>
        <v>2.2136100895930915E-2</v>
      </c>
      <c r="U30" s="118"/>
      <c r="V30" s="26"/>
      <c r="W30" s="26"/>
      <c r="X30" s="26"/>
      <c r="Y30" s="119" t="e">
        <f>#REF!</f>
        <v>#REF!</v>
      </c>
      <c r="Z30" s="118"/>
      <c r="AA30" s="10"/>
      <c r="AB30" s="10"/>
      <c r="AC30" s="10"/>
      <c r="AD30" s="119" t="e">
        <f>#REF!</f>
        <v>#REF!</v>
      </c>
      <c r="AE30" s="10"/>
      <c r="AF30" s="10"/>
      <c r="AG30" s="10"/>
      <c r="AH30" s="11"/>
    </row>
    <row r="31" spans="1:34" x14ac:dyDescent="0.25">
      <c r="A31" s="76" t="s">
        <v>79</v>
      </c>
      <c r="B31" s="10"/>
      <c r="C31" s="10">
        <f>(F7+C30)/2</f>
        <v>1.3568050447965458E-2</v>
      </c>
      <c r="D31" s="10"/>
      <c r="E31" s="10"/>
      <c r="F31" s="11"/>
      <c r="H31" s="120" t="s">
        <v>80</v>
      </c>
      <c r="I31" s="3" t="s">
        <v>81</v>
      </c>
      <c r="J31" s="104" t="s">
        <v>55</v>
      </c>
      <c r="K31" s="3">
        <v>2</v>
      </c>
      <c r="L31" s="106">
        <f>L30</f>
        <v>1</v>
      </c>
      <c r="M31" s="105">
        <f>L31</f>
        <v>1</v>
      </c>
      <c r="N31" s="3">
        <f>O17</f>
        <v>1.5</v>
      </c>
      <c r="O31" s="113">
        <f t="shared" si="4"/>
        <v>3</v>
      </c>
      <c r="S31" s="23" t="s">
        <v>79</v>
      </c>
      <c r="T31" s="123">
        <f t="shared" si="3"/>
        <v>1.3568050447965458E-2</v>
      </c>
      <c r="U31" s="124"/>
      <c r="V31" s="26"/>
      <c r="W31" s="26"/>
      <c r="X31" s="26"/>
      <c r="Y31" s="123" t="e">
        <f>#REF!</f>
        <v>#REF!</v>
      </c>
      <c r="Z31" s="124"/>
      <c r="AA31" s="10"/>
      <c r="AB31" s="10"/>
      <c r="AC31" s="10"/>
      <c r="AD31" s="123" t="e">
        <f>#REF!</f>
        <v>#REF!</v>
      </c>
      <c r="AE31" s="10"/>
      <c r="AF31" s="10"/>
      <c r="AG31" s="10"/>
      <c r="AH31" s="11"/>
    </row>
    <row r="32" spans="1:34" x14ac:dyDescent="0.25">
      <c r="A32" s="20" t="s">
        <v>82</v>
      </c>
      <c r="B32" s="10"/>
      <c r="C32" s="102">
        <f>C31*D3</f>
        <v>4.0025748821498102</v>
      </c>
      <c r="D32" s="10"/>
      <c r="E32" s="10"/>
      <c r="F32" s="11"/>
      <c r="H32" s="31">
        <v>3</v>
      </c>
      <c r="I32" s="99" t="s">
        <v>83</v>
      </c>
      <c r="J32" s="3"/>
      <c r="K32" s="3"/>
      <c r="L32" s="3"/>
      <c r="M32" s="105"/>
      <c r="N32" s="3"/>
      <c r="O32" s="159">
        <f>SUM(O33:O34)</f>
        <v>11808.200000000003</v>
      </c>
      <c r="S32" s="23" t="s">
        <v>82</v>
      </c>
      <c r="T32" s="119">
        <f t="shared" si="3"/>
        <v>4.0025748821498102</v>
      </c>
      <c r="U32" s="110"/>
      <c r="V32" s="26"/>
      <c r="W32" s="26"/>
      <c r="X32" s="26"/>
      <c r="Y32" s="119" t="e">
        <f>#REF!</f>
        <v>#REF!</v>
      </c>
      <c r="Z32" s="110"/>
      <c r="AA32" s="10"/>
      <c r="AB32" s="10"/>
      <c r="AC32" s="10"/>
      <c r="AD32" s="119" t="e">
        <f>#REF!</f>
        <v>#REF!</v>
      </c>
      <c r="AE32" s="10"/>
      <c r="AF32" s="10"/>
      <c r="AG32" s="10"/>
      <c r="AH32" s="11"/>
    </row>
    <row r="33" spans="1:34" x14ac:dyDescent="0.25">
      <c r="A33" s="76" t="s">
        <v>84</v>
      </c>
      <c r="B33" s="10"/>
      <c r="C33" s="102">
        <f>E23+C27+C32</f>
        <v>14.156681613853369</v>
      </c>
      <c r="D33" s="10"/>
      <c r="E33" s="10"/>
      <c r="F33" s="11"/>
      <c r="H33" s="2">
        <v>3.1</v>
      </c>
      <c r="I33" s="125" t="s">
        <v>85</v>
      </c>
      <c r="J33" s="2" t="s">
        <v>51</v>
      </c>
      <c r="K33" s="121">
        <f>K29</f>
        <v>1</v>
      </c>
      <c r="L33" s="3">
        <f>L25+2*L26</f>
        <v>39.800000000000004</v>
      </c>
      <c r="M33" s="105">
        <f>M26</f>
        <v>295</v>
      </c>
      <c r="N33" s="113"/>
      <c r="O33" s="160">
        <f>K33*M33*L33</f>
        <v>11741.000000000002</v>
      </c>
      <c r="S33" s="23" t="s">
        <v>84</v>
      </c>
      <c r="T33" s="119">
        <f t="shared" si="3"/>
        <v>14.156681613853369</v>
      </c>
      <c r="U33" s="110"/>
      <c r="V33" s="26"/>
      <c r="W33" s="26"/>
      <c r="X33" s="26"/>
      <c r="Y33" s="119" t="e">
        <f>#REF!</f>
        <v>#REF!</v>
      </c>
      <c r="Z33" s="110"/>
      <c r="AA33" s="10"/>
      <c r="AB33" s="10"/>
      <c r="AC33" s="10"/>
      <c r="AD33" s="119" t="e">
        <f>#REF!</f>
        <v>#REF!</v>
      </c>
      <c r="AE33" s="10"/>
      <c r="AF33" s="10"/>
      <c r="AG33" s="10"/>
      <c r="AH33" s="11"/>
    </row>
    <row r="34" spans="1:34" x14ac:dyDescent="0.25">
      <c r="A34" s="76" t="s">
        <v>86</v>
      </c>
      <c r="B34" s="10"/>
      <c r="C34" s="102">
        <f>C33-E21</f>
        <v>4.7313583433172823E-4</v>
      </c>
      <c r="D34" s="10"/>
      <c r="E34" s="10"/>
      <c r="F34" s="11"/>
      <c r="H34" s="2">
        <v>3.2</v>
      </c>
      <c r="I34" s="125" t="s">
        <v>87</v>
      </c>
      <c r="J34" s="2" t="s">
        <v>51</v>
      </c>
      <c r="K34" s="121">
        <f>K33</f>
        <v>1</v>
      </c>
      <c r="L34" s="3">
        <f>L29+2*L28</f>
        <v>2.8</v>
      </c>
      <c r="M34" s="105">
        <f>M28</f>
        <v>24</v>
      </c>
      <c r="N34" s="113"/>
      <c r="O34" s="126">
        <f>K34*M34*L34</f>
        <v>67.199999999999989</v>
      </c>
      <c r="S34" s="127" t="s">
        <v>86</v>
      </c>
      <c r="T34" s="128">
        <f t="shared" si="3"/>
        <v>4.7313583433172823E-4</v>
      </c>
      <c r="U34" s="107"/>
      <c r="V34" s="108"/>
      <c r="W34" s="108"/>
      <c r="X34" s="108"/>
      <c r="Y34" s="128" t="e">
        <f>#REF!</f>
        <v>#REF!</v>
      </c>
      <c r="Z34" s="107"/>
      <c r="AA34" s="28"/>
      <c r="AB34" s="28"/>
      <c r="AC34" s="28"/>
      <c r="AD34" s="128" t="e">
        <f>#REF!</f>
        <v>#REF!</v>
      </c>
      <c r="AE34" s="10"/>
      <c r="AF34" s="10"/>
      <c r="AG34" s="10"/>
      <c r="AH34" s="11"/>
    </row>
    <row r="35" spans="1:34" x14ac:dyDescent="0.25">
      <c r="A35" s="129" t="s">
        <v>88</v>
      </c>
      <c r="B35" s="10"/>
      <c r="C35" s="10"/>
      <c r="D35" s="10"/>
      <c r="E35" s="10"/>
      <c r="F35" s="11"/>
      <c r="H35" s="31">
        <v>4</v>
      </c>
      <c r="I35" s="130" t="s">
        <v>89</v>
      </c>
      <c r="J35" s="3"/>
      <c r="K35" s="3"/>
      <c r="L35" s="3"/>
      <c r="M35" s="3"/>
      <c r="N35" s="3"/>
      <c r="O35" s="159">
        <f>SUM(O36:O37)</f>
        <v>11808.200000000003</v>
      </c>
      <c r="S35" s="131" t="s">
        <v>88</v>
      </c>
      <c r="T35" s="16"/>
      <c r="U35" s="18"/>
      <c r="V35" s="18"/>
      <c r="W35" s="18"/>
      <c r="X35" s="18"/>
      <c r="Y35" s="19"/>
      <c r="Z35" s="5"/>
      <c r="AA35" s="5"/>
      <c r="AB35" s="5"/>
      <c r="AC35" s="5"/>
      <c r="AD35" s="19"/>
      <c r="AE35" s="5"/>
      <c r="AF35" s="5"/>
      <c r="AG35" s="5"/>
      <c r="AH35" s="6"/>
    </row>
    <row r="36" spans="1:34" x14ac:dyDescent="0.25">
      <c r="A36" s="76" t="s">
        <v>90</v>
      </c>
      <c r="B36" s="10"/>
      <c r="C36" s="132">
        <f>C26/(SQRT(9.81*E23))</f>
        <v>3.968675249842085</v>
      </c>
      <c r="D36" s="10"/>
      <c r="E36" s="10"/>
      <c r="F36" s="11"/>
      <c r="H36" s="2">
        <v>4.0999999999999996</v>
      </c>
      <c r="I36" s="125" t="s">
        <v>91</v>
      </c>
      <c r="J36" s="2" t="s">
        <v>51</v>
      </c>
      <c r="K36" s="121">
        <f>K34</f>
        <v>1</v>
      </c>
      <c r="L36" s="3">
        <f>L33</f>
        <v>39.800000000000004</v>
      </c>
      <c r="M36" s="105">
        <f>M33</f>
        <v>295</v>
      </c>
      <c r="N36" s="106">
        <f>N30</f>
        <v>1</v>
      </c>
      <c r="O36" s="159">
        <f t="shared" si="4"/>
        <v>11741.000000000002</v>
      </c>
      <c r="S36" s="23" t="s">
        <v>90</v>
      </c>
      <c r="T36" s="133">
        <f>C36</f>
        <v>3.968675249842085</v>
      </c>
      <c r="U36" s="134"/>
      <c r="V36" s="26"/>
      <c r="W36" s="26"/>
      <c r="X36" s="26"/>
      <c r="Y36" s="133" t="e">
        <f>#REF!</f>
        <v>#REF!</v>
      </c>
      <c r="Z36" s="134"/>
      <c r="AA36" s="26"/>
      <c r="AB36" s="26"/>
      <c r="AC36" s="26"/>
      <c r="AD36" s="133" t="e">
        <f>#REF!</f>
        <v>#REF!</v>
      </c>
      <c r="AE36" s="10"/>
      <c r="AF36" s="10"/>
      <c r="AG36" s="10"/>
      <c r="AH36" s="11"/>
    </row>
    <row r="37" spans="1:34" x14ac:dyDescent="0.25">
      <c r="A37" s="76" t="s">
        <v>92</v>
      </c>
      <c r="B37" s="10"/>
      <c r="C37" s="85">
        <f>E12</f>
        <v>15.21164021164021</v>
      </c>
      <c r="D37" s="10"/>
      <c r="E37" s="10"/>
      <c r="F37" s="11"/>
      <c r="H37" s="2">
        <v>4.2</v>
      </c>
      <c r="I37" s="125" t="s">
        <v>93</v>
      </c>
      <c r="J37" s="2" t="s">
        <v>51</v>
      </c>
      <c r="K37" s="121">
        <f>K36</f>
        <v>1</v>
      </c>
      <c r="L37" s="3">
        <f>L34</f>
        <v>2.8</v>
      </c>
      <c r="M37" s="105">
        <f>M34</f>
        <v>24</v>
      </c>
      <c r="N37" s="106">
        <f>N36</f>
        <v>1</v>
      </c>
      <c r="O37" s="113">
        <f t="shared" si="4"/>
        <v>67.199999999999989</v>
      </c>
      <c r="S37" s="23" t="s">
        <v>92</v>
      </c>
      <c r="T37" s="133">
        <f t="shared" ref="T37:T38" si="5">C37</f>
        <v>15.21164021164021</v>
      </c>
      <c r="U37" s="86"/>
      <c r="V37" s="26"/>
      <c r="W37" s="26"/>
      <c r="X37" s="26"/>
      <c r="Y37" s="133" t="e">
        <f>#REF!</f>
        <v>#REF!</v>
      </c>
      <c r="Z37" s="86"/>
      <c r="AA37" s="26"/>
      <c r="AB37" s="26"/>
      <c r="AC37" s="26"/>
      <c r="AD37" s="133" t="e">
        <f>#REF!</f>
        <v>#REF!</v>
      </c>
      <c r="AE37" s="10"/>
      <c r="AF37" s="10"/>
      <c r="AG37" s="10"/>
      <c r="AH37" s="11"/>
    </row>
    <row r="38" spans="1:34" ht="18.75" x14ac:dyDescent="0.35">
      <c r="A38" s="76" t="s">
        <v>94</v>
      </c>
      <c r="B38" s="10"/>
      <c r="C38" s="135">
        <f>(E23/2)*(SQRT(1+8*(C36^2))-1)</f>
        <v>5.8747039125879592</v>
      </c>
      <c r="D38" s="10"/>
      <c r="E38" t="s">
        <v>95</v>
      </c>
      <c r="F38" s="136">
        <f>C38+N16</f>
        <v>2522.5017039125964</v>
      </c>
      <c r="S38" s="23" t="s">
        <v>96</v>
      </c>
      <c r="T38" s="133">
        <f t="shared" si="5"/>
        <v>5.8747039125879592</v>
      </c>
      <c r="U38" s="74"/>
      <c r="V38" s="26" t="s">
        <v>95</v>
      </c>
      <c r="W38" s="137">
        <f>F38</f>
        <v>2522.5017039125964</v>
      </c>
      <c r="Y38" s="133" t="e">
        <f>#REF!</f>
        <v>#REF!</v>
      </c>
      <c r="Z38" s="26" t="s">
        <v>95</v>
      </c>
      <c r="AA38" s="137" t="e">
        <f>#REF!</f>
        <v>#REF!</v>
      </c>
      <c r="AB38" s="26"/>
      <c r="AC38" s="26"/>
      <c r="AD38" s="133" t="e">
        <f>#REF!</f>
        <v>#REF!</v>
      </c>
      <c r="AE38" s="26" t="s">
        <v>95</v>
      </c>
      <c r="AF38" s="26" t="s">
        <v>95</v>
      </c>
      <c r="AG38" s="10"/>
      <c r="AH38" s="11"/>
    </row>
    <row r="39" spans="1:34" x14ac:dyDescent="0.25">
      <c r="A39" s="129" t="s">
        <v>69</v>
      </c>
      <c r="B39" s="10"/>
      <c r="C39" s="10"/>
      <c r="D39" s="10"/>
      <c r="E39" s="10"/>
      <c r="F39" s="11"/>
      <c r="S39" s="138" t="s">
        <v>69</v>
      </c>
      <c r="T39" s="139"/>
      <c r="U39" s="108"/>
      <c r="V39" s="108"/>
      <c r="W39" s="108"/>
      <c r="X39" s="108"/>
      <c r="Y39" s="30"/>
      <c r="Z39" s="108"/>
      <c r="AA39" s="108"/>
      <c r="AB39" s="108"/>
      <c r="AC39" s="108"/>
      <c r="AD39" s="139"/>
      <c r="AE39" s="28"/>
      <c r="AF39" s="28"/>
      <c r="AG39" s="28"/>
      <c r="AH39" s="29"/>
    </row>
    <row r="40" spans="1:34" x14ac:dyDescent="0.25">
      <c r="A40" s="76" t="s">
        <v>97</v>
      </c>
      <c r="B40" s="10"/>
      <c r="C40" s="140">
        <f>4*C38</f>
        <v>23.498815650351837</v>
      </c>
      <c r="D40" s="48" t="s">
        <v>98</v>
      </c>
      <c r="E40" s="141">
        <f>CEILING(C40,1)</f>
        <v>24</v>
      </c>
      <c r="F40" s="11"/>
      <c r="S40" s="15" t="s">
        <v>97</v>
      </c>
      <c r="T40" s="142">
        <f>C40</f>
        <v>23.498815650351837</v>
      </c>
      <c r="U40" s="143" t="s">
        <v>98</v>
      </c>
      <c r="V40" s="144">
        <f>E40</f>
        <v>24</v>
      </c>
      <c r="W40" s="143"/>
      <c r="X40" s="145"/>
      <c r="Y40" s="142" t="e">
        <f>#REF!</f>
        <v>#REF!</v>
      </c>
      <c r="Z40" s="143" t="e">
        <f>#REF!</f>
        <v>#REF!</v>
      </c>
      <c r="AA40" s="144" t="e">
        <f>#REF!</f>
        <v>#REF!</v>
      </c>
      <c r="AB40" s="143"/>
      <c r="AC40" s="145"/>
      <c r="AD40" s="142" t="e">
        <f>#REF!</f>
        <v>#REF!</v>
      </c>
      <c r="AE40" s="143" t="e">
        <f>#REF!</f>
        <v>#REF!</v>
      </c>
      <c r="AF40" s="144" t="e">
        <f>#REF!</f>
        <v>#REF!</v>
      </c>
      <c r="AG40" s="143"/>
      <c r="AH40" s="145"/>
    </row>
    <row r="41" spans="1:34" ht="17.25" x14ac:dyDescent="0.25">
      <c r="A41" s="76" t="s">
        <v>99</v>
      </c>
      <c r="B41" s="10"/>
      <c r="C41" s="146">
        <f>18.46*(B6^0.5)/(B6+9.91)</f>
        <v>0.7567920698941103</v>
      </c>
      <c r="D41" s="48" t="s">
        <v>98</v>
      </c>
      <c r="E41" s="141">
        <f>CEILING(C41,0.1)</f>
        <v>0.8</v>
      </c>
      <c r="F41" s="11"/>
      <c r="S41" s="23" t="s">
        <v>100</v>
      </c>
      <c r="T41" s="119">
        <f>C41</f>
        <v>0.7567920698941103</v>
      </c>
      <c r="U41" s="83" t="s">
        <v>98</v>
      </c>
      <c r="V41" s="134">
        <f>E41</f>
        <v>0.8</v>
      </c>
      <c r="W41" s="83"/>
      <c r="X41" s="147"/>
      <c r="Y41" s="119"/>
      <c r="Z41" s="83" t="e">
        <f>#REF!</f>
        <v>#REF!</v>
      </c>
      <c r="AA41" s="134" t="e">
        <f>#REF!</f>
        <v>#REF!</v>
      </c>
      <c r="AB41" s="83"/>
      <c r="AC41" s="147"/>
      <c r="AD41" s="119"/>
      <c r="AE41" s="83" t="e">
        <f>#REF!</f>
        <v>#REF!</v>
      </c>
      <c r="AF41" s="134" t="e">
        <f>#REF!</f>
        <v>#REF!</v>
      </c>
      <c r="AG41" s="83"/>
      <c r="AH41" s="147"/>
    </row>
    <row r="42" spans="1:34" x14ac:dyDescent="0.25">
      <c r="A42" s="148" t="s">
        <v>101</v>
      </c>
      <c r="B42" s="10"/>
      <c r="C42" s="10"/>
      <c r="D42" s="10"/>
      <c r="E42" s="149">
        <f>C38+((C37/C38)^2)/(2*9.81)</f>
        <v>6.2164323501346255</v>
      </c>
      <c r="F42" s="11"/>
      <c r="S42" s="150" t="s">
        <v>102</v>
      </c>
      <c r="T42" s="24"/>
      <c r="U42" s="26"/>
      <c r="V42" s="134">
        <f t="shared" ref="V42:V44" si="6">E42</f>
        <v>6.2164323501346255</v>
      </c>
      <c r="W42" s="26"/>
      <c r="X42" s="151"/>
      <c r="Y42" s="24"/>
      <c r="Z42" s="26"/>
      <c r="AA42" s="134" t="e">
        <f>#REF!</f>
        <v>#REF!</v>
      </c>
      <c r="AB42" s="26"/>
      <c r="AC42" s="151"/>
      <c r="AD42" s="24"/>
      <c r="AE42" s="26"/>
      <c r="AF42" s="134" t="e">
        <f>#REF!</f>
        <v>#REF!</v>
      </c>
      <c r="AG42" s="26"/>
      <c r="AH42" s="151"/>
    </row>
    <row r="43" spans="1:34" x14ac:dyDescent="0.25">
      <c r="A43" s="148" t="s">
        <v>103</v>
      </c>
      <c r="B43" s="10"/>
      <c r="C43" s="10"/>
      <c r="D43" s="10"/>
      <c r="E43" s="149">
        <f>F6+((C37/F6)^2)/(2*9.81)</f>
        <v>5.4717512699865223</v>
      </c>
      <c r="F43" s="11"/>
      <c r="S43" s="150" t="s">
        <v>103</v>
      </c>
      <c r="T43" s="24"/>
      <c r="U43" s="26"/>
      <c r="V43" s="134">
        <f t="shared" si="6"/>
        <v>5.4717512699865223</v>
      </c>
      <c r="W43" s="26"/>
      <c r="X43" s="151"/>
      <c r="Y43" s="24"/>
      <c r="Z43" s="26"/>
      <c r="AA43" s="134" t="e">
        <f>#REF!</f>
        <v>#REF!</v>
      </c>
      <c r="AB43" s="26"/>
      <c r="AC43" s="151"/>
      <c r="AD43" s="24"/>
      <c r="AE43" s="26"/>
      <c r="AF43" s="134" t="e">
        <f>#REF!</f>
        <v>#REF!</v>
      </c>
      <c r="AG43" s="26"/>
      <c r="AH43" s="151"/>
    </row>
    <row r="44" spans="1:34" x14ac:dyDescent="0.25">
      <c r="A44" s="152" t="s">
        <v>104</v>
      </c>
      <c r="B44" s="28"/>
      <c r="C44" s="28"/>
      <c r="D44" s="28"/>
      <c r="E44" s="153">
        <f>CEILING(IF((E42-E43)&lt;0,"0",(E42-E43)),0.1)</f>
        <v>0.8</v>
      </c>
      <c r="F44" s="29"/>
      <c r="S44" s="127" t="s">
        <v>104</v>
      </c>
      <c r="T44" s="139"/>
      <c r="U44" s="108"/>
      <c r="V44" s="154">
        <f t="shared" si="6"/>
        <v>0.8</v>
      </c>
      <c r="W44" s="108"/>
      <c r="X44" s="155"/>
      <c r="Y44" s="139"/>
      <c r="Z44" s="108"/>
      <c r="AA44" s="154" t="e">
        <f>#REF!</f>
        <v>#REF!</v>
      </c>
      <c r="AB44" s="108"/>
      <c r="AC44" s="155"/>
      <c r="AD44" s="139"/>
      <c r="AE44" s="108"/>
      <c r="AF44" s="154" t="e">
        <f>#REF!</f>
        <v>#REF!</v>
      </c>
      <c r="AG44" s="108"/>
      <c r="AH44" s="155"/>
    </row>
  </sheetData>
  <mergeCells count="21">
    <mergeCell ref="AS2:AX2"/>
    <mergeCell ref="AS3:AS4"/>
    <mergeCell ref="AT3:AT4"/>
    <mergeCell ref="AV3:AV4"/>
    <mergeCell ref="AX3:AX4"/>
    <mergeCell ref="AW3:AW4"/>
    <mergeCell ref="AU3:AU4"/>
    <mergeCell ref="AQ2:AQ4"/>
    <mergeCell ref="AR2:AR4"/>
    <mergeCell ref="AL2:AL4"/>
    <mergeCell ref="AM2:AM4"/>
    <mergeCell ref="AK2:AK4"/>
    <mergeCell ref="AY2:AY4"/>
    <mergeCell ref="AN2:AN4"/>
    <mergeCell ref="AO2:AO4"/>
    <mergeCell ref="AP2:AP4"/>
    <mergeCell ref="T2:X2"/>
    <mergeCell ref="Y2:AC2"/>
    <mergeCell ref="AD2:AH2"/>
    <mergeCell ref="AI2:AI4"/>
    <mergeCell ref="AJ2:AJ4"/>
  </mergeCells>
  <pageMargins left="0.7" right="0.7" top="0.75" bottom="0.75" header="0.3" footer="0.3"/>
  <pageSetup orientation="portrait" horizontalDpi="1200" verticalDpi="1200" r:id="rId1"/>
  <ignoredErrors>
    <ignoredError sqref="M27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Chute + SB design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2017-01-25T03:05:27Z</dcterms:created>
  <dcterms:modified xsi:type="dcterms:W3CDTF">2017-02-10T17:22:35Z</dcterms:modified>
</cp:coreProperties>
</file>