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2565" windowWidth="15570" windowHeight="5445" tabRatio="783" activeTab="2"/>
  </bookViews>
  <sheets>
    <sheet name="CWR" sheetId="78" r:id="rId1"/>
    <sheet name="Supply" sheetId="202" r:id="rId2"/>
    <sheet name="Design of pump" sheetId="91" r:id="rId3"/>
    <sheet name="O&amp;M Costs of pump" sheetId="92" r:id="rId4"/>
    <sheet name="Area+TU1" sheetId="48" r:id="rId5"/>
  </sheets>
  <calcPr calcId="144525"/>
</workbook>
</file>

<file path=xl/calcChain.xml><?xml version="1.0" encoding="utf-8"?>
<calcChain xmlns="http://schemas.openxmlformats.org/spreadsheetml/2006/main">
  <c r="D31" i="91" l="1"/>
  <c r="M35" i="78" l="1"/>
  <c r="L35" i="78"/>
  <c r="K35" i="78"/>
  <c r="J35" i="78"/>
  <c r="I35" i="78"/>
  <c r="H35" i="78"/>
  <c r="G35" i="78"/>
  <c r="F35" i="78"/>
  <c r="E35" i="78"/>
  <c r="D35" i="78"/>
  <c r="C35" i="78"/>
  <c r="B35" i="78"/>
  <c r="M34" i="78"/>
  <c r="L34" i="78"/>
  <c r="K34" i="78"/>
  <c r="J34" i="78"/>
  <c r="I34" i="78"/>
  <c r="H34" i="78"/>
  <c r="G34" i="78"/>
  <c r="F34" i="78"/>
  <c r="E34" i="78"/>
  <c r="D34" i="78"/>
  <c r="C34" i="78"/>
  <c r="B34" i="78"/>
  <c r="M31" i="78"/>
  <c r="L31" i="78"/>
  <c r="K31" i="78"/>
  <c r="J31" i="78"/>
  <c r="I31" i="78"/>
  <c r="H31" i="78"/>
  <c r="G31" i="78"/>
  <c r="F31" i="78"/>
  <c r="E31" i="78"/>
  <c r="D31" i="78"/>
  <c r="C31" i="78"/>
  <c r="B31" i="78"/>
  <c r="B8" i="202"/>
  <c r="B5" i="91" l="1"/>
  <c r="B6" i="91"/>
  <c r="B7" i="91"/>
  <c r="B9" i="91"/>
  <c r="Y5" i="48" l="1"/>
  <c r="Y4" i="48" l="1"/>
  <c r="Y8" i="48" l="1"/>
  <c r="K172" i="48" l="1"/>
  <c r="K168" i="48"/>
  <c r="K167" i="48"/>
  <c r="G168" i="48"/>
  <c r="G167" i="48"/>
  <c r="Q32" i="48"/>
  <c r="Q31" i="48"/>
  <c r="Q30" i="48"/>
  <c r="B25" i="78" l="1"/>
  <c r="C25" i="78"/>
  <c r="D25" i="78"/>
  <c r="E25" i="78"/>
  <c r="F25" i="78"/>
  <c r="G25" i="78"/>
  <c r="H25" i="78"/>
  <c r="I25" i="78"/>
  <c r="J25" i="78"/>
  <c r="K25" i="78"/>
  <c r="L25" i="78"/>
  <c r="M25" i="78"/>
  <c r="U7" i="48" l="1"/>
  <c r="X3" i="48" s="1"/>
  <c r="X5" i="48" l="1"/>
  <c r="X4" i="48"/>
  <c r="X8" i="48" s="1"/>
  <c r="B23" i="91" l="1"/>
  <c r="B44" i="92" l="1"/>
  <c r="B43" i="92"/>
  <c r="B28" i="91" l="1"/>
  <c r="B20" i="91" l="1"/>
  <c r="B21" i="92"/>
  <c r="M23" i="78"/>
  <c r="M27" i="78" s="1"/>
  <c r="B17" i="91" l="1"/>
  <c r="B29" i="91" s="1"/>
  <c r="M28" i="78"/>
  <c r="F23" i="78"/>
  <c r="F27" i="78" s="1"/>
  <c r="K23" i="78"/>
  <c r="K27" i="78" s="1"/>
  <c r="B23" i="78"/>
  <c r="B27" i="78" s="1"/>
  <c r="G23" i="78"/>
  <c r="G27" i="78" s="1"/>
  <c r="L23" i="78"/>
  <c r="L27" i="78" s="1"/>
  <c r="C23" i="78"/>
  <c r="C27" i="78" s="1"/>
  <c r="H23" i="78"/>
  <c r="H27" i="78" s="1"/>
  <c r="N31" i="78"/>
  <c r="D23" i="78"/>
  <c r="D27" i="78" s="1"/>
  <c r="J23" i="78"/>
  <c r="J27" i="78" s="1"/>
  <c r="E23" i="78"/>
  <c r="E27" i="78" s="1"/>
  <c r="I23" i="78"/>
  <c r="I27" i="78" s="1"/>
  <c r="B40" i="91" l="1"/>
  <c r="M29" i="78"/>
  <c r="C28" i="78"/>
  <c r="I28" i="78"/>
  <c r="G28" i="78"/>
  <c r="D28" i="78"/>
  <c r="K28" i="78"/>
  <c r="L28" i="78"/>
  <c r="F28" i="78"/>
  <c r="E28" i="78"/>
  <c r="J28" i="78"/>
  <c r="H28" i="78"/>
  <c r="B28" i="78"/>
  <c r="L29" i="78" l="1"/>
  <c r="K29" i="78"/>
  <c r="H29" i="78"/>
  <c r="I29" i="78"/>
  <c r="J29" i="78"/>
  <c r="C29" i="78"/>
  <c r="E29" i="78"/>
  <c r="D29" i="78"/>
  <c r="B29" i="78"/>
  <c r="F29" i="78"/>
  <c r="G29" i="78"/>
  <c r="M30" i="78"/>
  <c r="M32" i="78" s="1"/>
  <c r="F30" i="78" l="1"/>
  <c r="F32" i="78" s="1"/>
  <c r="C30" i="78"/>
  <c r="C32" i="78" s="1"/>
  <c r="K30" i="78"/>
  <c r="K32" i="78" s="1"/>
  <c r="D30" i="78"/>
  <c r="D32" i="78" s="1"/>
  <c r="I30" i="78"/>
  <c r="I32" i="78" s="1"/>
  <c r="G30" i="78"/>
  <c r="G32" i="78" s="1"/>
  <c r="B30" i="78"/>
  <c r="N29" i="78"/>
  <c r="B23" i="92" s="1"/>
  <c r="E30" i="78"/>
  <c r="E32" i="78" s="1"/>
  <c r="J30" i="78"/>
  <c r="J32" i="78" s="1"/>
  <c r="H30" i="78"/>
  <c r="H32" i="78" s="1"/>
  <c r="L30" i="78"/>
  <c r="L32" i="78" s="1"/>
  <c r="N30" i="78" l="1"/>
  <c r="N32" i="78" s="1"/>
  <c r="B32" i="78"/>
  <c r="C163" i="48" l="1"/>
  <c r="C164" i="48" s="1"/>
  <c r="P15" i="48"/>
  <c r="K20" i="48"/>
  <c r="C21" i="48"/>
  <c r="P14" i="48" s="1"/>
  <c r="F11" i="48"/>
  <c r="F20" i="48" s="1"/>
  <c r="P16" i="48" l="1"/>
  <c r="B39" i="92"/>
  <c r="B38" i="92"/>
  <c r="I12" i="92"/>
  <c r="L10" i="92"/>
  <c r="B87" i="91" s="1"/>
  <c r="L9" i="92"/>
  <c r="B88" i="91" s="1"/>
  <c r="K109" i="91" l="1"/>
  <c r="K108" i="91"/>
  <c r="K105" i="91"/>
  <c r="K104" i="91"/>
  <c r="K101" i="91"/>
  <c r="K100" i="91"/>
  <c r="H85" i="91"/>
  <c r="B76" i="91"/>
  <c r="B75" i="91"/>
  <c r="B72" i="91"/>
  <c r="B71" i="91"/>
  <c r="H55" i="91"/>
  <c r="B48" i="91" s="1"/>
  <c r="B55" i="91" s="1"/>
  <c r="B47" i="91"/>
  <c r="B42" i="91"/>
  <c r="B41" i="91"/>
  <c r="B39" i="91"/>
  <c r="B35" i="91"/>
  <c r="B65" i="91"/>
  <c r="B66" i="91" s="1"/>
  <c r="B58" i="91" l="1"/>
  <c r="B59" i="91" s="1"/>
  <c r="B54" i="91"/>
  <c r="I152" i="48" l="1"/>
  <c r="I145" i="48"/>
  <c r="I142" i="48"/>
  <c r="I139" i="48"/>
  <c r="I135" i="48"/>
  <c r="I131" i="48"/>
  <c r="I150" i="48" s="1"/>
  <c r="I128" i="48"/>
  <c r="I124" i="48"/>
  <c r="I121" i="48"/>
  <c r="I106" i="48"/>
  <c r="I103" i="48"/>
  <c r="I100" i="48"/>
  <c r="I97" i="48"/>
  <c r="I94" i="48"/>
  <c r="I89" i="48"/>
  <c r="I86" i="48"/>
  <c r="I84" i="48"/>
  <c r="I82" i="48"/>
  <c r="I80" i="48"/>
  <c r="I78" i="48"/>
  <c r="I76" i="48"/>
  <c r="I74" i="48"/>
  <c r="I72" i="48"/>
  <c r="I70" i="48"/>
  <c r="I67" i="48"/>
  <c r="I65" i="48"/>
  <c r="I63" i="48"/>
  <c r="I61" i="48"/>
  <c r="I59" i="48"/>
  <c r="I57" i="48"/>
  <c r="I55" i="48"/>
  <c r="I53" i="48"/>
  <c r="I51" i="48"/>
  <c r="I49" i="48"/>
  <c r="I47" i="48"/>
  <c r="I44" i="48"/>
  <c r="I127" i="48" l="1"/>
  <c r="I41" i="48"/>
  <c r="I38" i="48"/>
  <c r="I35" i="48"/>
  <c r="I32" i="48"/>
  <c r="I29" i="48"/>
  <c r="I26" i="48"/>
  <c r="I24" i="48"/>
  <c r="I22" i="48"/>
  <c r="I18" i="48"/>
  <c r="I16" i="48"/>
  <c r="I13" i="48"/>
  <c r="I11" i="48"/>
  <c r="I6" i="48"/>
  <c r="I4" i="48"/>
  <c r="I160" i="48"/>
  <c r="I158" i="48"/>
  <c r="I156" i="48"/>
  <c r="I154" i="48"/>
  <c r="I162" i="48" s="1"/>
  <c r="F93" i="48"/>
  <c r="F22" i="48"/>
  <c r="F4" i="48"/>
  <c r="F131" i="48"/>
  <c r="F153" i="48"/>
  <c r="I20" i="48" l="1"/>
  <c r="I92" i="48"/>
  <c r="Q24" i="48" l="1"/>
  <c r="K171" i="48" l="1"/>
  <c r="K170" i="48"/>
  <c r="G166" i="48"/>
  <c r="K166" i="48"/>
  <c r="F162" i="48"/>
  <c r="H156" i="48"/>
  <c r="H158" i="48"/>
  <c r="H160" i="48"/>
  <c r="H154" i="48"/>
  <c r="K162" i="48"/>
  <c r="K152" i="48"/>
  <c r="H152" i="48"/>
  <c r="I130" i="48"/>
  <c r="I163" i="48" s="1"/>
  <c r="K130" i="48"/>
  <c r="K150" i="48"/>
  <c r="F150" i="48"/>
  <c r="H145" i="48"/>
  <c r="H142" i="48"/>
  <c r="H139" i="48"/>
  <c r="H135" i="48"/>
  <c r="K127" i="48"/>
  <c r="F127" i="48"/>
  <c r="K92" i="48"/>
  <c r="K163" i="48" s="1"/>
  <c r="F10" i="48"/>
  <c r="F21" i="48" s="1"/>
  <c r="I10" i="48"/>
  <c r="I21" i="48" s="1"/>
  <c r="I164" i="48" s="1"/>
  <c r="K10" i="48"/>
  <c r="K21" i="48" s="1"/>
  <c r="H131" i="48"/>
  <c r="H128" i="48"/>
  <c r="H130" i="48" s="1"/>
  <c r="H124" i="48"/>
  <c r="H121" i="48"/>
  <c r="H106" i="48"/>
  <c r="H103" i="48"/>
  <c r="H100" i="48"/>
  <c r="H97" i="48"/>
  <c r="H94" i="48"/>
  <c r="K164" i="48" l="1"/>
  <c r="E153" i="48"/>
  <c r="E162" i="48" s="1"/>
  <c r="Q22" i="48" s="1"/>
  <c r="H150" i="48"/>
  <c r="E93" i="48"/>
  <c r="H127" i="48"/>
  <c r="E131" i="48"/>
  <c r="E150" i="48" s="1"/>
  <c r="Q21" i="48" s="1"/>
  <c r="H162" i="48"/>
  <c r="H89" i="48"/>
  <c r="H86" i="48"/>
  <c r="H72" i="48"/>
  <c r="H74" i="48"/>
  <c r="H76" i="48"/>
  <c r="H78" i="48"/>
  <c r="H80" i="48"/>
  <c r="H82" i="48"/>
  <c r="H84" i="48"/>
  <c r="H70" i="48"/>
  <c r="H67" i="48"/>
  <c r="Z18" i="48" l="1"/>
  <c r="E127" i="48"/>
  <c r="Q20" i="48" s="1"/>
  <c r="S21" i="48"/>
  <c r="S22" i="48"/>
  <c r="H55" i="48"/>
  <c r="H57" i="48"/>
  <c r="H59" i="48"/>
  <c r="H61" i="48"/>
  <c r="H63" i="48"/>
  <c r="H65" i="48"/>
  <c r="H49" i="48"/>
  <c r="H51" i="48"/>
  <c r="H53" i="48"/>
  <c r="H47" i="48"/>
  <c r="H44" i="48"/>
  <c r="H41" i="48"/>
  <c r="H38" i="48"/>
  <c r="H35" i="48"/>
  <c r="H32" i="48"/>
  <c r="H26" i="48"/>
  <c r="H24" i="48"/>
  <c r="H22" i="48"/>
  <c r="H18" i="48"/>
  <c r="H16" i="48"/>
  <c r="H13" i="48"/>
  <c r="H11" i="48"/>
  <c r="H6" i="48"/>
  <c r="H4" i="48"/>
  <c r="S20" i="48" l="1"/>
  <c r="E4" i="48"/>
  <c r="H10" i="48"/>
  <c r="H20" i="48"/>
  <c r="E11" i="48"/>
  <c r="E20" i="48" s="1"/>
  <c r="E21" i="48" l="1"/>
  <c r="E10" i="48"/>
  <c r="Q18" i="48"/>
  <c r="Z16" i="48" s="1"/>
  <c r="H21" i="48"/>
  <c r="B4" i="48"/>
  <c r="B21" i="48" s="1"/>
  <c r="Q17" i="48"/>
  <c r="Z15" i="48" s="1"/>
  <c r="S18" i="48" l="1"/>
  <c r="S17" i="48"/>
  <c r="Q14" i="48"/>
  <c r="R30" i="48" s="1"/>
  <c r="Q2" i="48" l="1"/>
  <c r="S7" i="48" l="1"/>
  <c r="T7" i="48"/>
  <c r="Q7" i="48"/>
  <c r="R7" i="48"/>
  <c r="P7" i="48"/>
  <c r="H29" i="48"/>
  <c r="Z17" i="48" l="1"/>
  <c r="Z19" i="48" s="1"/>
  <c r="M14" i="48"/>
  <c r="H92" i="48"/>
  <c r="H163" i="48" s="1"/>
  <c r="H164" i="48" s="1"/>
  <c r="E22" i="48"/>
  <c r="E92" i="48" s="1"/>
  <c r="F92" i="48"/>
  <c r="F163" i="48" s="1"/>
  <c r="F164" i="48" s="1"/>
  <c r="E163" i="48" l="1"/>
  <c r="E164" i="48" s="1"/>
  <c r="B22" i="48"/>
  <c r="B163" i="48" s="1"/>
  <c r="Q19" i="48"/>
  <c r="S19" i="48" l="1"/>
  <c r="Q23" i="48"/>
  <c r="Q25" i="48" s="1"/>
  <c r="R19" i="48"/>
  <c r="Q15" i="48"/>
  <c r="B164" i="48"/>
  <c r="B22" i="92" l="1"/>
  <c r="B8" i="91"/>
  <c r="B10" i="91"/>
  <c r="R31" i="48"/>
  <c r="R15" i="48"/>
  <c r="Q16" i="48"/>
  <c r="R23" i="48"/>
  <c r="R24" i="48"/>
  <c r="R21" i="48"/>
  <c r="R22" i="48"/>
  <c r="R20" i="48"/>
  <c r="R18" i="48"/>
  <c r="R17" i="48"/>
  <c r="R14" i="48" l="1"/>
  <c r="R16" i="48" s="1"/>
  <c r="R25" i="48" l="1"/>
  <c r="E42" i="78" l="1"/>
  <c r="B11" i="91"/>
  <c r="Y7" i="48"/>
  <c r="S10" i="48"/>
  <c r="C36" i="78"/>
  <c r="C37" i="78" s="1"/>
  <c r="C38" i="78" s="1"/>
  <c r="C39" i="78"/>
  <c r="B12" i="91" s="1"/>
  <c r="F36" i="78"/>
  <c r="F37" i="78" s="1"/>
  <c r="F38" i="78" s="1"/>
  <c r="F39" i="78"/>
  <c r="F40" i="78" s="1"/>
  <c r="D36" i="78"/>
  <c r="D37" i="78" s="1"/>
  <c r="D38" i="78" s="1"/>
  <c r="D39" i="78"/>
  <c r="D40" i="78" s="1"/>
  <c r="I36" i="78"/>
  <c r="I37" i="78" s="1"/>
  <c r="I38" i="78" s="1"/>
  <c r="I39" i="78"/>
  <c r="I40" i="78" s="1"/>
  <c r="B36" i="78"/>
  <c r="B37" i="78" s="1"/>
  <c r="B39" i="78"/>
  <c r="B40" i="78" s="1"/>
  <c r="H36" i="78"/>
  <c r="H37" i="78" s="1"/>
  <c r="H38" i="78" s="1"/>
  <c r="H39" i="78"/>
  <c r="H40" i="78" s="1"/>
  <c r="G36" i="78"/>
  <c r="G37" i="78" s="1"/>
  <c r="G38" i="78" s="1"/>
  <c r="G39" i="78"/>
  <c r="G40" i="78" s="1"/>
  <c r="Y10" i="48" l="1"/>
  <c r="Y9" i="48"/>
  <c r="B38" i="78"/>
  <c r="C40" i="78"/>
  <c r="F42" i="78"/>
  <c r="Y11" i="48" l="1"/>
  <c r="S14" i="48"/>
  <c r="B31" i="91"/>
  <c r="B2" i="92"/>
  <c r="J36" i="78"/>
  <c r="J37" i="78" s="1"/>
  <c r="J38" i="78" s="1"/>
  <c r="J39" i="78"/>
  <c r="J40" i="78" s="1"/>
  <c r="E36" i="78"/>
  <c r="E37" i="78" s="1"/>
  <c r="E39" i="78"/>
  <c r="E40" i="78" s="1"/>
  <c r="S15" i="48" l="1"/>
  <c r="T19" i="48" s="1"/>
  <c r="S9" i="48"/>
  <c r="E38" i="78"/>
  <c r="B20" i="92"/>
  <c r="D2" i="92"/>
  <c r="B68" i="91"/>
  <c r="B69" i="91" s="1"/>
  <c r="B70" i="91" s="1"/>
  <c r="B84" i="91"/>
  <c r="B33" i="91"/>
  <c r="B34" i="91" s="1"/>
  <c r="K36" i="78"/>
  <c r="K37" i="78" s="1"/>
  <c r="K38" i="78" s="1"/>
  <c r="K39" i="78"/>
  <c r="K40" i="78" s="1"/>
  <c r="X7" i="48" l="1"/>
  <c r="B38" i="91"/>
  <c r="B36" i="91"/>
  <c r="B74" i="91"/>
  <c r="B77" i="91" s="1"/>
  <c r="B78" i="91" s="1"/>
  <c r="L36" i="78"/>
  <c r="L37" i="78" s="1"/>
  <c r="L38" i="78" s="1"/>
  <c r="L39" i="78"/>
  <c r="L40" i="78" s="1"/>
  <c r="X10" i="48" l="1"/>
  <c r="X9" i="48"/>
  <c r="B43" i="91"/>
  <c r="B44" i="91" s="1"/>
  <c r="B79" i="91" s="1"/>
  <c r="B80" i="91" s="1"/>
  <c r="B51" i="91"/>
  <c r="M36" i="78"/>
  <c r="M37" i="78" s="1"/>
  <c r="M38" i="78" s="1"/>
  <c r="M39" i="78"/>
  <c r="M40" i="78" s="1"/>
  <c r="N40" i="78" s="1"/>
  <c r="X11" i="48" l="1"/>
  <c r="Y13" i="48" s="1"/>
  <c r="B61" i="91"/>
  <c r="B60" i="91"/>
  <c r="O40" i="78"/>
  <c r="B24" i="92"/>
  <c r="B83" i="91"/>
  <c r="D4" i="92"/>
  <c r="B90" i="91"/>
  <c r="B92" i="91"/>
  <c r="B91" i="91"/>
  <c r="B89" i="91"/>
  <c r="B85" i="91"/>
  <c r="N37" i="78"/>
  <c r="N38" i="78" s="1"/>
  <c r="B7" i="92" l="1"/>
  <c r="B6" i="92"/>
  <c r="B25" i="92"/>
  <c r="B26" i="92"/>
  <c r="B27" i="92"/>
  <c r="D6" i="92" l="1"/>
  <c r="B11" i="92"/>
  <c r="B12" i="92"/>
  <c r="D7" i="92"/>
  <c r="B32" i="92" l="1"/>
  <c r="B35" i="92" s="1"/>
  <c r="B41" i="92" s="1"/>
  <c r="B46" i="92" s="1"/>
  <c r="B50" i="92" s="1"/>
  <c r="B16" i="92"/>
  <c r="B29" i="92" s="1"/>
  <c r="B33" i="92"/>
  <c r="B36" i="92" s="1"/>
  <c r="B42" i="92" s="1"/>
  <c r="B47" i="92" s="1"/>
  <c r="B51" i="92" s="1"/>
  <c r="B17" i="92"/>
  <c r="B30" i="92" s="1"/>
  <c r="B19" i="92"/>
</calcChain>
</file>

<file path=xl/comments1.xml><?xml version="1.0" encoding="utf-8"?>
<comments xmlns="http://schemas.openxmlformats.org/spreadsheetml/2006/main">
  <authors>
    <author>preffered user</author>
  </authors>
  <commentList>
    <comment ref="B19" authorId="0">
      <text>
        <r>
          <rPr>
            <b/>
            <sz val="9"/>
            <color indexed="81"/>
            <rFont val="Tahoma"/>
            <family val="2"/>
          </rPr>
          <t>preffered user:</t>
        </r>
        <r>
          <rPr>
            <sz val="9"/>
            <color indexed="81"/>
            <rFont val="Tahoma"/>
            <family val="2"/>
          </rPr>
          <t xml:space="preserve">
Bank Level + 0.5</t>
        </r>
      </text>
    </comment>
    <comment ref="B23" authorId="0">
      <text>
        <r>
          <rPr>
            <b/>
            <sz val="9"/>
            <color indexed="81"/>
            <rFont val="Tahoma"/>
            <family val="2"/>
          </rPr>
          <t>preffered user:</t>
        </r>
        <r>
          <rPr>
            <sz val="9"/>
            <color indexed="81"/>
            <rFont val="Tahoma"/>
            <family val="2"/>
          </rPr>
          <t xml:space="preserve">
OGL=2549 but on d/s side = 2546</t>
        </r>
      </text>
    </comment>
    <comment ref="B29" authorId="0">
      <text>
        <r>
          <rPr>
            <b/>
            <sz val="9"/>
            <color indexed="81"/>
            <rFont val="Tahoma"/>
            <family val="2"/>
          </rPr>
          <t>preffered user:</t>
        </r>
        <r>
          <rPr>
            <sz val="9"/>
            <color indexed="81"/>
            <rFont val="Tahoma"/>
            <family val="2"/>
          </rPr>
          <t xml:space="preserve">
4m is horizontal length, &amp; 1m just for creating pool and/or avoiding silt</t>
        </r>
      </text>
    </comment>
    <comment ref="B31" authorId="0">
      <text>
        <r>
          <rPr>
            <b/>
            <sz val="9"/>
            <color indexed="81"/>
            <rFont val="Tahoma"/>
            <family val="2"/>
          </rPr>
          <t>preffered user:</t>
        </r>
        <r>
          <rPr>
            <sz val="9"/>
            <color indexed="81"/>
            <rFont val="Tahoma"/>
            <family val="2"/>
          </rPr>
          <t xml:space="preserve">
1 standby pump</t>
        </r>
      </text>
    </comment>
    <comment ref="B76" authorId="0">
      <text>
        <r>
          <rPr>
            <b/>
            <sz val="9"/>
            <color indexed="81"/>
            <rFont val="Tahoma"/>
            <family val="2"/>
          </rPr>
          <t>preffered user:</t>
        </r>
        <r>
          <rPr>
            <sz val="9"/>
            <color indexed="81"/>
            <rFont val="Tahoma"/>
            <family val="2"/>
          </rPr>
          <t xml:space="preserve">
3 is expected Nr of bends at collection chamber</t>
        </r>
      </text>
    </comment>
  </commentList>
</comments>
</file>

<file path=xl/comments2.xml><?xml version="1.0" encoding="utf-8"?>
<comments xmlns="http://schemas.openxmlformats.org/spreadsheetml/2006/main">
  <authors>
    <author>preffered user</author>
  </authors>
  <commentList>
    <comment ref="B2" authorId="0">
      <text>
        <r>
          <rPr>
            <b/>
            <sz val="9"/>
            <color indexed="81"/>
            <rFont val="Tahoma"/>
            <family val="2"/>
          </rPr>
          <t>preffered user:</t>
        </r>
        <r>
          <rPr>
            <sz val="9"/>
            <color indexed="81"/>
            <rFont val="Tahoma"/>
            <family val="2"/>
          </rPr>
          <t xml:space="preserve">
2 pupms operating at a time</t>
        </r>
      </text>
    </comment>
  </commentList>
</comments>
</file>

<file path=xl/comments3.xml><?xml version="1.0" encoding="utf-8"?>
<comments xmlns="http://schemas.openxmlformats.org/spreadsheetml/2006/main">
  <authors>
    <author>preffered user</author>
  </authors>
  <commentList>
    <comment ref="Y7" authorId="0">
      <text>
        <r>
          <rPr>
            <b/>
            <sz val="9"/>
            <color indexed="81"/>
            <rFont val="Tahoma"/>
            <family val="2"/>
          </rPr>
          <t>preffered user:</t>
        </r>
        <r>
          <rPr>
            <sz val="9"/>
            <color indexed="81"/>
            <rFont val="Tahoma"/>
            <family val="2"/>
          </rPr>
          <t xml:space="preserve">
measured</t>
        </r>
      </text>
    </comment>
  </commentList>
</comments>
</file>

<file path=xl/sharedStrings.xml><?xml version="1.0" encoding="utf-8"?>
<sst xmlns="http://schemas.openxmlformats.org/spreadsheetml/2006/main" count="803" uniqueCount="586">
  <si>
    <t>Remark</t>
  </si>
  <si>
    <t xml:space="preserve"> </t>
  </si>
  <si>
    <t>Nr</t>
  </si>
  <si>
    <t>m</t>
  </si>
  <si>
    <t>Description</t>
  </si>
  <si>
    <t>Total</t>
  </si>
  <si>
    <t>Subtotal</t>
  </si>
  <si>
    <t>MC</t>
  </si>
  <si>
    <t>SC</t>
  </si>
  <si>
    <t>Area, ha</t>
  </si>
  <si>
    <t xml:space="preserve">Name </t>
  </si>
  <si>
    <t>%</t>
  </si>
  <si>
    <t>mm</t>
  </si>
  <si>
    <t>m3/s</t>
  </si>
  <si>
    <t>m/s</t>
  </si>
  <si>
    <t>A</t>
  </si>
  <si>
    <t>Unit</t>
  </si>
  <si>
    <t>ha</t>
  </si>
  <si>
    <t>X</t>
  </si>
  <si>
    <t>S</t>
  </si>
  <si>
    <t>D</t>
  </si>
  <si>
    <t>ETB</t>
  </si>
  <si>
    <t>Grand Total</t>
  </si>
  <si>
    <t>or</t>
  </si>
  <si>
    <t>J</t>
  </si>
  <si>
    <t>Table: Area by Tertiary Units (ha)</t>
  </si>
  <si>
    <t>TC</t>
  </si>
  <si>
    <t>FC</t>
  </si>
  <si>
    <t>Leng (km)</t>
  </si>
  <si>
    <r>
      <t>q</t>
    </r>
    <r>
      <rPr>
        <vertAlign val="subscript"/>
        <sz val="11"/>
        <color theme="1"/>
        <rFont val="Calibri"/>
        <family val="2"/>
        <scheme val="minor"/>
      </rPr>
      <t xml:space="preserve">24hr </t>
    </r>
    <r>
      <rPr>
        <sz val="11"/>
        <color theme="1"/>
        <rFont val="Calibri"/>
        <family val="2"/>
        <charset val="1"/>
        <scheme val="minor"/>
      </rPr>
      <t>=</t>
    </r>
  </si>
  <si>
    <t>Item</t>
  </si>
  <si>
    <t>Duration Option (hr)</t>
  </si>
  <si>
    <t>Peak Flow Rates, q (l/s/ha)</t>
  </si>
  <si>
    <t>If Irrigation duration, (hr)</t>
  </si>
  <si>
    <t>Options of Irrigation application duration</t>
  </si>
  <si>
    <t>Name</t>
  </si>
  <si>
    <t xml:space="preserve">Net Area </t>
  </si>
  <si>
    <t>(ha)</t>
  </si>
  <si>
    <t>Value</t>
  </si>
  <si>
    <t>e</t>
  </si>
  <si>
    <t>TC1-1</t>
  </si>
  <si>
    <t>FC1-1-1</t>
  </si>
  <si>
    <t>FC1-1-2</t>
  </si>
  <si>
    <t>FC2-1-1</t>
  </si>
  <si>
    <t>FC2-1-2</t>
  </si>
  <si>
    <t>FC1-2-1</t>
  </si>
  <si>
    <t>FC1-2-2</t>
  </si>
  <si>
    <t>TC1-2</t>
  </si>
  <si>
    <t>FC0-1-1</t>
  </si>
  <si>
    <t>FC0-1-2</t>
  </si>
  <si>
    <t>SC1</t>
  </si>
  <si>
    <t>TC2-1</t>
  </si>
  <si>
    <t>SC2</t>
  </si>
  <si>
    <t>TC2-2</t>
  </si>
  <si>
    <t>FC2-2-1</t>
  </si>
  <si>
    <t>FC2-2-2</t>
  </si>
  <si>
    <t>FC2-2-3</t>
  </si>
  <si>
    <t>TC2-3</t>
  </si>
  <si>
    <t>FC2-3-1</t>
  </si>
  <si>
    <t>FC2-3-2</t>
  </si>
  <si>
    <t>TC2-4</t>
  </si>
  <si>
    <t>FC2-4-1</t>
  </si>
  <si>
    <t>FC2-4-2</t>
  </si>
  <si>
    <t>SC3</t>
  </si>
  <si>
    <t>FC3-1-1</t>
  </si>
  <si>
    <t>FC3-1-2</t>
  </si>
  <si>
    <t>TC3-1</t>
  </si>
  <si>
    <t>TC3-2</t>
  </si>
  <si>
    <t>TC3-3</t>
  </si>
  <si>
    <t>FC3-2-1</t>
  </si>
  <si>
    <t>FC3-2-2</t>
  </si>
  <si>
    <t>FC3-3-1</t>
  </si>
  <si>
    <t>FC3-3-2</t>
  </si>
  <si>
    <t>FC3-0-1</t>
  </si>
  <si>
    <t>FC3-4-1</t>
  </si>
  <si>
    <t>FC3-4-2</t>
  </si>
  <si>
    <t>FC3-0-2</t>
  </si>
  <si>
    <t>TC3-4</t>
  </si>
  <si>
    <t>FC3-5-1</t>
  </si>
  <si>
    <t>FC3-5-2</t>
  </si>
  <si>
    <t>FC3-0-3</t>
  </si>
  <si>
    <t>TC3-5</t>
  </si>
  <si>
    <t>TC3-6</t>
  </si>
  <si>
    <t>TC3-7</t>
  </si>
  <si>
    <t>TC3-8</t>
  </si>
  <si>
    <t>TC3-9</t>
  </si>
  <si>
    <t>TC3-10</t>
  </si>
  <si>
    <t>FC3-0-4</t>
  </si>
  <si>
    <t>FC3-6-1</t>
  </si>
  <si>
    <t>FC3-6-2</t>
  </si>
  <si>
    <t>FC3-7-1</t>
  </si>
  <si>
    <t>FC3-7-2</t>
  </si>
  <si>
    <t>FC3-0-5</t>
  </si>
  <si>
    <t>FC3-8-1</t>
  </si>
  <si>
    <t>FC3-8-2</t>
  </si>
  <si>
    <t>FC3-0-6</t>
  </si>
  <si>
    <t>FC3-9-1</t>
  </si>
  <si>
    <t>FC3-9-2</t>
  </si>
  <si>
    <t>FC3-0-7</t>
  </si>
  <si>
    <t>FC3-10-1</t>
  </si>
  <si>
    <t>FC3-10-2</t>
  </si>
  <si>
    <t>FC3-0-8</t>
  </si>
  <si>
    <t>FC3-11-1</t>
  </si>
  <si>
    <t>FC3-11-2</t>
  </si>
  <si>
    <t>FC3-0-9</t>
  </si>
  <si>
    <t>FC3-12-1</t>
  </si>
  <si>
    <t>FC3-12-2</t>
  </si>
  <si>
    <t>FC3-0-10</t>
  </si>
  <si>
    <t>TC3-11</t>
  </si>
  <si>
    <t>TC3-12</t>
  </si>
  <si>
    <t>TC3-13</t>
  </si>
  <si>
    <t>FC3-13-1</t>
  </si>
  <si>
    <t>FC3-13-2</t>
  </si>
  <si>
    <t>TC3-14</t>
  </si>
  <si>
    <t>TC3-15</t>
  </si>
  <si>
    <t>TC3-16</t>
  </si>
  <si>
    <t>TC3-17</t>
  </si>
  <si>
    <t>TC3-18</t>
  </si>
  <si>
    <t>TC3-19</t>
  </si>
  <si>
    <t>FC3-14-1</t>
  </si>
  <si>
    <t>FC3-14-2</t>
  </si>
  <si>
    <t>FC3-15-1</t>
  </si>
  <si>
    <t>FC3-15-2</t>
  </si>
  <si>
    <t>FC3-16-1</t>
  </si>
  <si>
    <t>FC3-16-2</t>
  </si>
  <si>
    <t>FC3-17-1</t>
  </si>
  <si>
    <t>FC3-17-2</t>
  </si>
  <si>
    <t>FC3-18-1</t>
  </si>
  <si>
    <t>FC3-18-2</t>
  </si>
  <si>
    <t>FC3-19-1</t>
  </si>
  <si>
    <t>FC3-19-2</t>
  </si>
  <si>
    <t>TC3-20</t>
  </si>
  <si>
    <t>FC3-20-1</t>
  </si>
  <si>
    <t>FC3-20-2</t>
  </si>
  <si>
    <t>FC3-21-1</t>
  </si>
  <si>
    <t>FC3-21-2</t>
  </si>
  <si>
    <t>TC3-21</t>
  </si>
  <si>
    <t>TC3-22</t>
  </si>
  <si>
    <t>FC3-22-1</t>
  </si>
  <si>
    <t>FC3-22-2</t>
  </si>
  <si>
    <t>TC3-23</t>
  </si>
  <si>
    <t>TC3-24</t>
  </si>
  <si>
    <t>TC3-25</t>
  </si>
  <si>
    <t>TC3-26</t>
  </si>
  <si>
    <t>TC3-27</t>
  </si>
  <si>
    <t>TC3-28</t>
  </si>
  <si>
    <t>FC3-23-1</t>
  </si>
  <si>
    <t>FC3-23-2</t>
  </si>
  <si>
    <t>FC3-26-1</t>
  </si>
  <si>
    <t>FC3-26-2</t>
  </si>
  <si>
    <t>FC3-25-2</t>
  </si>
  <si>
    <t>FC3-25-1</t>
  </si>
  <si>
    <t>FC3-24-1</t>
  </si>
  <si>
    <t>FC3-24-2</t>
  </si>
  <si>
    <t>FC3-27-1</t>
  </si>
  <si>
    <t>FC3-28-1</t>
  </si>
  <si>
    <t>FC3-27-2</t>
  </si>
  <si>
    <t>FC3-28-2</t>
  </si>
  <si>
    <t>TC3-29</t>
  </si>
  <si>
    <t>FC3-29-1</t>
  </si>
  <si>
    <t>FC3-29-2</t>
  </si>
  <si>
    <t>FC3-30-1</t>
  </si>
  <si>
    <t>FC3-31-2</t>
  </si>
  <si>
    <t>TC3-30</t>
  </si>
  <si>
    <t>SC4</t>
  </si>
  <si>
    <t>SC5</t>
  </si>
  <si>
    <t>SC6</t>
  </si>
  <si>
    <t>FC4-0-0</t>
  </si>
  <si>
    <t>FC4-1-1</t>
  </si>
  <si>
    <t>FC4-1-2</t>
  </si>
  <si>
    <t>TC4-1</t>
  </si>
  <si>
    <t>FC4-0-1</t>
  </si>
  <si>
    <t>FC4-2-1</t>
  </si>
  <si>
    <t>FC4-2-2</t>
  </si>
  <si>
    <t>FC4-0-2</t>
  </si>
  <si>
    <t>TC4-2</t>
  </si>
  <si>
    <t>TC4-3</t>
  </si>
  <si>
    <t>FC4-3-1</t>
  </si>
  <si>
    <t>FC4-3-2</t>
  </si>
  <si>
    <t>TC4-4</t>
  </si>
  <si>
    <t>TC4-5</t>
  </si>
  <si>
    <t>FC4-0-3</t>
  </si>
  <si>
    <t>FC4-0-4</t>
  </si>
  <si>
    <t>FC4-0-5</t>
  </si>
  <si>
    <t>FC4-4-1</t>
  </si>
  <si>
    <t>FC4-4-2</t>
  </si>
  <si>
    <t>FC4-5-1</t>
  </si>
  <si>
    <t>FC4-5-2</t>
  </si>
  <si>
    <t>FC4-0-6</t>
  </si>
  <si>
    <t>FC4-0-7</t>
  </si>
  <si>
    <t>FC4-0-8</t>
  </si>
  <si>
    <t>FC4-0-9</t>
  </si>
  <si>
    <t>FC4-0-10</t>
  </si>
  <si>
    <t>FC4-0-11</t>
  </si>
  <si>
    <t>FC4-0-12</t>
  </si>
  <si>
    <t>FC4-0-13</t>
  </si>
  <si>
    <t>FC4-0-14</t>
  </si>
  <si>
    <t>FC4-0-15</t>
  </si>
  <si>
    <t>FC4-0-16</t>
  </si>
  <si>
    <t>FC4-0-17</t>
  </si>
  <si>
    <t>FC4-0-18</t>
  </si>
  <si>
    <t>FC4-6-1</t>
  </si>
  <si>
    <t>FC4-6-2</t>
  </si>
  <si>
    <t>FC4-0-19</t>
  </si>
  <si>
    <t>FC4-7-1</t>
  </si>
  <si>
    <t>FC4-7-2</t>
  </si>
  <si>
    <t>TC0-1</t>
  </si>
  <si>
    <t>FC5-1-1</t>
  </si>
  <si>
    <t>FC5-1-2</t>
  </si>
  <si>
    <t>FC5-1-3</t>
  </si>
  <si>
    <t>TC5-1</t>
  </si>
  <si>
    <t>TC5-2</t>
  </si>
  <si>
    <t>FC5-2-1</t>
  </si>
  <si>
    <t>FC5-2-2</t>
  </si>
  <si>
    <t>FC5-2-3</t>
  </si>
  <si>
    <t>FC5-0-1</t>
  </si>
  <si>
    <t>FC5-0-2</t>
  </si>
  <si>
    <t>TC5-3</t>
  </si>
  <si>
    <t>TC5-4</t>
  </si>
  <si>
    <t>FC5-3-1</t>
  </si>
  <si>
    <t>FC5-3-2</t>
  </si>
  <si>
    <t>FC5-4-1</t>
  </si>
  <si>
    <t>FC5-4-2</t>
  </si>
  <si>
    <t>FC5-5-1</t>
  </si>
  <si>
    <t>FC5-5-2</t>
  </si>
  <si>
    <t>TC5-5</t>
  </si>
  <si>
    <t>FC5-0-3</t>
  </si>
  <si>
    <t>FC5-0-4</t>
  </si>
  <si>
    <t>FC5-0-5</t>
  </si>
  <si>
    <t>FC5-0-6</t>
  </si>
  <si>
    <t>FC5-0-7</t>
  </si>
  <si>
    <t>FC6-0-1</t>
  </si>
  <si>
    <t>FC6-1-1</t>
  </si>
  <si>
    <t>TC6-1</t>
  </si>
  <si>
    <t>FC6-1-2</t>
  </si>
  <si>
    <t>FC0-0-1</t>
  </si>
  <si>
    <t>TC6-2</t>
  </si>
  <si>
    <t>FC6-2-1</t>
  </si>
  <si>
    <t>FC6-2-2</t>
  </si>
  <si>
    <t>TC6-3</t>
  </si>
  <si>
    <t>TC6-4</t>
  </si>
  <si>
    <t>FC6-3-1</t>
  </si>
  <si>
    <t>FC6-3-2</t>
  </si>
  <si>
    <t>FC6-4-1</t>
  </si>
  <si>
    <t>FC6-4-2</t>
  </si>
  <si>
    <t>Nr of FC</t>
  </si>
  <si>
    <t>Max</t>
  </si>
  <si>
    <t>Min</t>
  </si>
  <si>
    <t>TC4-6</t>
  </si>
  <si>
    <t>TC4-7</t>
  </si>
  <si>
    <t>Item description</t>
  </si>
  <si>
    <t>l/s/ha</t>
  </si>
  <si>
    <t>Expected to operate for 10hrs/day</t>
  </si>
  <si>
    <t>Gross command Area  =</t>
  </si>
  <si>
    <t>Net command Area  =</t>
  </si>
  <si>
    <r>
      <t>m</t>
    </r>
    <r>
      <rPr>
        <vertAlign val="superscript"/>
        <sz val="10"/>
        <color theme="1"/>
        <rFont val="Calibri"/>
        <family val="2"/>
        <scheme val="minor"/>
      </rPr>
      <t>3</t>
    </r>
    <r>
      <rPr>
        <sz val="10"/>
        <color theme="1"/>
        <rFont val="Calibri"/>
        <family val="2"/>
        <scheme val="minor"/>
      </rPr>
      <t>/s</t>
    </r>
  </si>
  <si>
    <t>Safe minimum water level</t>
  </si>
  <si>
    <t>Suction pipe axis</t>
  </si>
  <si>
    <t>Delivery pipe axis outlet</t>
  </si>
  <si>
    <t>Pipe Material</t>
  </si>
  <si>
    <t>Avg. temp. at project site (from Hydrology) =</t>
  </si>
  <si>
    <r>
      <rPr>
        <vertAlign val="superscript"/>
        <sz val="10"/>
        <color theme="1"/>
        <rFont val="Calibri"/>
        <family val="2"/>
        <scheme val="minor"/>
      </rPr>
      <t>o</t>
    </r>
    <r>
      <rPr>
        <sz val="10"/>
        <color theme="1"/>
        <rFont val="Calibri"/>
        <family val="2"/>
        <scheme val="minor"/>
      </rPr>
      <t>c</t>
    </r>
  </si>
  <si>
    <t xml:space="preserve">Altitude at the project site </t>
  </si>
  <si>
    <t>Pump center line level</t>
  </si>
  <si>
    <t>Suction pipe length, Ls =</t>
  </si>
  <si>
    <t>Total number of pumps required</t>
  </si>
  <si>
    <t>2 operating &amp; 1 standby pump</t>
  </si>
  <si>
    <t>Discharge per each operating pumps at a time</t>
  </si>
  <si>
    <t>Allowed flow velocity in suction pipe, V =</t>
  </si>
  <si>
    <t>Calculated diameter of each suction pipe, d =</t>
  </si>
  <si>
    <t>Adopted diameter of suction pipeline, ds =</t>
  </si>
  <si>
    <t>Velocity head in suction side, ha = V2/2g</t>
  </si>
  <si>
    <r>
      <t>Hazen-Williams eq</t>
    </r>
    <r>
      <rPr>
        <u/>
        <sz val="10"/>
        <color theme="1"/>
        <rFont val="Calibri"/>
        <family val="2"/>
        <scheme val="minor"/>
      </rPr>
      <t>n</t>
    </r>
    <r>
      <rPr>
        <sz val="10"/>
        <color theme="1"/>
        <rFont val="Calibri"/>
        <family val="2"/>
        <scheme val="minor"/>
      </rPr>
      <t xml:space="preserve"> for Head loss in pipe lines </t>
    </r>
  </si>
  <si>
    <t>m3/hr</t>
  </si>
  <si>
    <t xml:space="preserve">Hazen-Williams roughness coefficient for steel pipe, C = </t>
  </si>
  <si>
    <t xml:space="preserve">Loss due to bend/ bend loss, = Kb * v2/2g, where Kb =0.19, thus loss = </t>
  </si>
  <si>
    <t xml:space="preserve">Suction lift head= Suction pipe axis level - Safe minimum water level = </t>
  </si>
  <si>
    <t xml:space="preserve">Strainer + valve loss= Ks * v2/2g, where Ks =2, thus loss = </t>
  </si>
  <si>
    <t xml:space="preserve">Entry loss = Ke * v2/2g, where Ke =0.1, thus loss = </t>
  </si>
  <si>
    <t>NPSHa = Ha – Hf – Hs – es – Fs</t>
  </si>
  <si>
    <t xml:space="preserve">Ha - is atmospheric pressure at water surface </t>
  </si>
  <si>
    <t xml:space="preserve">Thus, net available atm. Press. Ha = </t>
  </si>
  <si>
    <t xml:space="preserve">Vapour Pressure at project Site, </t>
  </si>
  <si>
    <r>
      <t xml:space="preserve">Where, ed is in mbar and Ts is in </t>
    </r>
    <r>
      <rPr>
        <vertAlign val="superscript"/>
        <sz val="10"/>
        <color rgb="FF000000"/>
        <rFont val="Candara"/>
        <family val="2"/>
      </rPr>
      <t>0</t>
    </r>
    <r>
      <rPr>
        <sz val="10"/>
        <color rgb="FF000000"/>
        <rFont val="Candara"/>
        <family val="2"/>
      </rPr>
      <t>C</t>
    </r>
  </si>
  <si>
    <t>Fs - is factor of safety  =</t>
  </si>
  <si>
    <t>Thus NPSHa =</t>
  </si>
  <si>
    <t xml:space="preserve">NPSHR = (Ha – HVp)/Pg Where, </t>
  </si>
  <si>
    <t>1mbar =</t>
  </si>
  <si>
    <t>bar</t>
  </si>
  <si>
    <t xml:space="preserve">     Ha = atmospheric pressure at inlet (minimum water surface)</t>
  </si>
  <si>
    <t>1bar =</t>
  </si>
  <si>
    <t xml:space="preserve">     Pv = Vapor pressure at the give temperature ºc</t>
  </si>
  <si>
    <t>Thus, 1mbar =</t>
  </si>
  <si>
    <t xml:space="preserve">     P = Specific gravity at a given temp for the project site= </t>
  </si>
  <si>
    <t xml:space="preserve">     g = gravitation due to acceleration = </t>
  </si>
  <si>
    <t xml:space="preserve">Thus, absolute head at pump inlet = </t>
  </si>
  <si>
    <t>Deducting S.F from this value will give, NPSHR =</t>
  </si>
  <si>
    <t>Now, check against cavitation by comparing NPSHr &amp; NPSHa</t>
  </si>
  <si>
    <t>If NPSHr &lt; NPSHa, there is no cavitation</t>
  </si>
  <si>
    <t>UPVC</t>
  </si>
  <si>
    <t>Pipe length, b/n pump axis and Delivery pipe axis outlet, Ld =</t>
  </si>
  <si>
    <t>Static delivery head, Hd</t>
  </si>
  <si>
    <t xml:space="preserve">Allowed velocity at out of delivery pipe, Vd = </t>
  </si>
  <si>
    <t>Adopted diameter of delivery pipeline, ds =</t>
  </si>
  <si>
    <t>Velocity head in delivery side, ha = V2/2g</t>
  </si>
  <si>
    <t>Cheek valve loss, hcv= Kcv * V2/2g, where Kcv =0.8, thus loss =</t>
  </si>
  <si>
    <t xml:space="preserve">Hazen-Williams roughness coefficient for UPVC pipe, C = </t>
  </si>
  <si>
    <t>Exit loss, = Ke * V2/2g, where Ke =1, thus loss =</t>
  </si>
  <si>
    <t xml:space="preserve">Loss due to bend/ bend loss, hb= Kb * v2/2g, where Kb =0.19, thus loss = </t>
  </si>
  <si>
    <t xml:space="preserve">At three points: </t>
  </si>
  <si>
    <t>Total head loss in delivery pipeline, hd =</t>
  </si>
  <si>
    <t>hd = ha + hcv + Hf + hb</t>
  </si>
  <si>
    <t>Hence, Total Delivery Head = Static head + Total Head loss</t>
  </si>
  <si>
    <t>Thus, Total Pumping Head, Ht =</t>
  </si>
  <si>
    <t>Ht = Hs + Hd</t>
  </si>
  <si>
    <t xml:space="preserve">Adopted Total Pumping Head, Ht = </t>
  </si>
  <si>
    <r>
      <t>Required power, P = QH</t>
    </r>
    <r>
      <rPr>
        <vertAlign val="subscript"/>
        <sz val="10"/>
        <color theme="1"/>
        <rFont val="Calibri"/>
        <family val="2"/>
        <scheme val="minor"/>
      </rPr>
      <t>t</t>
    </r>
    <r>
      <rPr>
        <sz val="10"/>
        <color theme="1"/>
        <rFont val="Calibri"/>
        <family val="2"/>
        <scheme val="minor"/>
      </rPr>
      <t>/</t>
    </r>
    <r>
      <rPr>
        <sz val="10"/>
        <color theme="1"/>
        <rFont val="Symbol"/>
        <family val="1"/>
        <charset val="2"/>
      </rPr>
      <t>h</t>
    </r>
    <r>
      <rPr>
        <vertAlign val="subscript"/>
        <sz val="10"/>
        <color theme="1"/>
        <rFont val="Calibri"/>
        <family val="2"/>
        <scheme val="minor"/>
      </rPr>
      <t>p</t>
    </r>
    <r>
      <rPr>
        <sz val="10"/>
        <color theme="1"/>
        <rFont val="Symbol"/>
        <family val="1"/>
        <charset val="2"/>
      </rPr>
      <t>h</t>
    </r>
    <r>
      <rPr>
        <vertAlign val="subscript"/>
        <sz val="10"/>
        <color theme="1"/>
        <rFont val="Calibri"/>
        <family val="2"/>
        <scheme val="minor"/>
      </rPr>
      <t>m</t>
    </r>
  </si>
  <si>
    <t>KW</t>
  </si>
  <si>
    <r>
      <t>Where,      H</t>
    </r>
    <r>
      <rPr>
        <vertAlign val="subscript"/>
        <sz val="10"/>
        <color theme="1"/>
        <rFont val="Calibri"/>
        <family val="2"/>
        <scheme val="minor"/>
      </rPr>
      <t>t</t>
    </r>
    <r>
      <rPr>
        <sz val="10"/>
        <color theme="1"/>
        <rFont val="Calibri"/>
        <family val="2"/>
        <scheme val="minor"/>
      </rPr>
      <t xml:space="preserve"> = Total head in the system (m)</t>
    </r>
  </si>
  <si>
    <t xml:space="preserve">1KVA = </t>
  </si>
  <si>
    <t xml:space="preserve">                   Q = Discharge per pump (lit /s)</t>
  </si>
  <si>
    <t xml:space="preserve">1KW = </t>
  </si>
  <si>
    <t>HP</t>
  </si>
  <si>
    <t>Thus, Required power, P =</t>
  </si>
  <si>
    <r>
      <t xml:space="preserve">Brake horse power (BHP) =WHP/ </t>
    </r>
    <r>
      <rPr>
        <sz val="10"/>
        <color theme="1"/>
        <rFont val="Symbol"/>
        <family val="1"/>
        <charset val="2"/>
      </rPr>
      <t>h</t>
    </r>
    <r>
      <rPr>
        <vertAlign val="subscript"/>
        <sz val="10"/>
        <color theme="1"/>
        <rFont val="Calibri"/>
        <family val="2"/>
        <scheme val="minor"/>
      </rPr>
      <t>pm</t>
    </r>
    <r>
      <rPr>
        <sz val="10"/>
        <color theme="1"/>
        <rFont val="Calibri"/>
        <family val="2"/>
        <scheme val="minor"/>
      </rPr>
      <t xml:space="preserve"> =</t>
    </r>
  </si>
  <si>
    <r>
      <t xml:space="preserve">Where,       </t>
    </r>
    <r>
      <rPr>
        <sz val="10"/>
        <color theme="1"/>
        <rFont val="Symbol"/>
        <family val="1"/>
        <charset val="2"/>
      </rPr>
      <t>h</t>
    </r>
    <r>
      <rPr>
        <vertAlign val="subscript"/>
        <sz val="10"/>
        <color theme="1"/>
        <rFont val="Calibri"/>
        <family val="2"/>
        <scheme val="minor"/>
      </rPr>
      <t>pm</t>
    </r>
    <r>
      <rPr>
        <sz val="10"/>
        <color theme="1"/>
        <rFont val="Calibri"/>
        <family val="2"/>
      </rPr>
      <t xml:space="preserve"> = </t>
    </r>
    <r>
      <rPr>
        <sz val="10"/>
        <color theme="1"/>
        <rFont val="Calibri"/>
        <family val="2"/>
        <scheme val="minor"/>
      </rPr>
      <t>Efficiency of Coupled pump and motor</t>
    </r>
  </si>
  <si>
    <t>if electric</t>
  </si>
  <si>
    <t>Thus, Power required to operate the system, P  (KW)=</t>
  </si>
  <si>
    <t>Thus, Power required to operate the system, P (HP)=</t>
  </si>
  <si>
    <t xml:space="preserve">        V/ Operation Schedule of Pumps</t>
  </si>
  <si>
    <t>Operation hours</t>
  </si>
  <si>
    <t>Operation Frequency</t>
  </si>
  <si>
    <t>Operation Hours (Hrs/day)</t>
  </si>
  <si>
    <t>All Pumps</t>
  </si>
  <si>
    <t>Pump1</t>
  </si>
  <si>
    <t>Pump2</t>
  </si>
  <si>
    <t>Pump3</t>
  </si>
  <si>
    <t>Day-1</t>
  </si>
  <si>
    <t xml:space="preserve"> 7:00 am to 12:00 am</t>
  </si>
  <si>
    <t>Ö</t>
  </si>
  <si>
    <t>01:00 pm - 06:00 pm</t>
  </si>
  <si>
    <t>Sub Total</t>
  </si>
  <si>
    <t>Once/day</t>
  </si>
  <si>
    <t>tiwice/day</t>
  </si>
  <si>
    <t>5hrs/day</t>
  </si>
  <si>
    <t>10hrs/day</t>
  </si>
  <si>
    <t>20 hrs/day</t>
  </si>
  <si>
    <t>Day-2</t>
  </si>
  <si>
    <t>8hrs/day</t>
  </si>
  <si>
    <t>Day-3</t>
  </si>
  <si>
    <t>Day-4</t>
  </si>
  <si>
    <t>NB: There are two MCs in consequetive,  the first part runs from BSR to intake on Bollo River &amp; the second starts from this intake and supply majority of the command area</t>
  </si>
  <si>
    <t>Discharge, Q of each pump, l/s</t>
  </si>
  <si>
    <r>
      <t>m</t>
    </r>
    <r>
      <rPr>
        <vertAlign val="superscript"/>
        <sz val="9"/>
        <color theme="1"/>
        <rFont val="Calibri"/>
        <family val="2"/>
        <scheme val="minor"/>
      </rPr>
      <t>3</t>
    </r>
    <r>
      <rPr>
        <sz val="9"/>
        <color theme="1"/>
        <rFont val="Calibri"/>
        <family val="2"/>
        <scheme val="minor"/>
      </rPr>
      <t>/sec</t>
    </r>
  </si>
  <si>
    <t>Total dynamic head, H=</t>
  </si>
  <si>
    <t>Power of pump, P if electric</t>
  </si>
  <si>
    <t>Efficiencies of pump and motor</t>
  </si>
  <si>
    <t>Power of pump, P if diesel</t>
  </si>
  <si>
    <t>say 70HP</t>
  </si>
  <si>
    <t>Pump by</t>
  </si>
  <si>
    <t>Proposed (%)</t>
  </si>
  <si>
    <t>Adopted (%)</t>
  </si>
  <si>
    <t>if coupled</t>
  </si>
  <si>
    <t>e1</t>
  </si>
  <si>
    <t>e2</t>
  </si>
  <si>
    <t xml:space="preserve">Table: Estimated Power Requirement of Pumps  </t>
  </si>
  <si>
    <t>Electric</t>
  </si>
  <si>
    <t>0.5-0.8</t>
  </si>
  <si>
    <t>Diesel</t>
  </si>
  <si>
    <t>or 70 HP</t>
  </si>
  <si>
    <t>l/s =</t>
  </si>
  <si>
    <t>Cost of electricity =</t>
  </si>
  <si>
    <t>ETB/kWh</t>
  </si>
  <si>
    <t>Cost of diesel fuel =</t>
  </si>
  <si>
    <t>ETB/lit</t>
  </si>
  <si>
    <t xml:space="preserve">Rate expected on-site </t>
  </si>
  <si>
    <t>Energy cost per hour =</t>
  </si>
  <si>
    <t xml:space="preserve">                - electric</t>
  </si>
  <si>
    <t>ETB/hr</t>
  </si>
  <si>
    <t xml:space="preserve">                - diesel</t>
  </si>
  <si>
    <t>Specific energy of diesel fuel =</t>
  </si>
  <si>
    <t>KWh/lit</t>
  </si>
  <si>
    <t>Adopted from Megech</t>
  </si>
  <si>
    <t>Therefore, diesel fuel requirement =</t>
  </si>
  <si>
    <t>lit/hour</t>
  </si>
  <si>
    <t>Volume of water pumped per hour =</t>
  </si>
  <si>
    <r>
      <t>m</t>
    </r>
    <r>
      <rPr>
        <vertAlign val="superscript"/>
        <sz val="9"/>
        <color theme="1"/>
        <rFont val="Arial"/>
        <family val="2"/>
      </rPr>
      <t>3</t>
    </r>
    <r>
      <rPr>
        <sz val="9"/>
        <color theme="1"/>
        <rFont val="Arial"/>
        <family val="2"/>
      </rPr>
      <t>/hr</t>
    </r>
  </si>
  <si>
    <t>1l/s=3.6m3/hr</t>
  </si>
  <si>
    <t>Peak gross irrigation requirement</t>
  </si>
  <si>
    <t>Overall effi.=45%</t>
  </si>
  <si>
    <t xml:space="preserve">Net area to be irrigated </t>
  </si>
  <si>
    <t xml:space="preserve">by pump </t>
  </si>
  <si>
    <t>Gross water requirement for this area =</t>
  </si>
  <si>
    <t>Mm3</t>
  </si>
  <si>
    <t>Annual gross depth of irrig. req'd in the field=</t>
  </si>
  <si>
    <t>This is peak reqiurement</t>
  </si>
  <si>
    <t>Gross water requirement/hectare =</t>
  </si>
  <si>
    <t>Total pumping hours per season/year=</t>
  </si>
  <si>
    <t>hrs</t>
  </si>
  <si>
    <t>Energy cost/ha per season/year =</t>
  </si>
  <si>
    <t xml:space="preserve">                - if electric</t>
  </si>
  <si>
    <t>ETB/ha</t>
  </si>
  <si>
    <t xml:space="preserve">                - if diesel</t>
  </si>
  <si>
    <t>Total Energy consumption (for peak per season)</t>
  </si>
  <si>
    <t>KWh</t>
  </si>
  <si>
    <t>For 120 days &amp; 10hr/day</t>
  </si>
  <si>
    <t>Total Energy cost (for peak demand per season)</t>
  </si>
  <si>
    <t>Maintenance cost required per season</t>
  </si>
  <si>
    <t>2% of pump cost</t>
  </si>
  <si>
    <t>Total O&amp;M cost (for peak demand per season)</t>
  </si>
  <si>
    <t>Operators (#2 per season)</t>
  </si>
  <si>
    <t>Assumed 1000 ETB/month</t>
  </si>
  <si>
    <t>Guards (#2 per season)</t>
  </si>
  <si>
    <t>Assumed 800 ETB/month</t>
  </si>
  <si>
    <t>G.Total O&amp;M cost (for peak demand/season)</t>
  </si>
  <si>
    <t>For two seasons i.e. 1 yr</t>
  </si>
  <si>
    <t>Assumed Nr of project beneficiary households</t>
  </si>
  <si>
    <t>HH</t>
  </si>
  <si>
    <t>By household heads</t>
  </si>
  <si>
    <r>
      <t>O&amp;M</t>
    </r>
    <r>
      <rPr>
        <sz val="9"/>
        <color rgb="FF000000"/>
        <rFont val="Arial"/>
        <family val="2"/>
      </rPr>
      <t xml:space="preserve"> </t>
    </r>
    <r>
      <rPr>
        <sz val="9"/>
        <color theme="1"/>
        <rFont val="Arial"/>
        <family val="2"/>
      </rPr>
      <t>share of each household head/season</t>
    </r>
  </si>
  <si>
    <t>ETB/HH</t>
  </si>
  <si>
    <t>Operation cost/HH/yr</t>
  </si>
  <si>
    <t>MC1</t>
  </si>
  <si>
    <t>MC2</t>
  </si>
  <si>
    <t>Subtotal MC2</t>
  </si>
  <si>
    <t>Subtotal MC1</t>
  </si>
  <si>
    <t>Subtotal MC1 &amp; MC1</t>
  </si>
  <si>
    <t>Subtotal SCs</t>
  </si>
  <si>
    <t>Subtotal SC6</t>
  </si>
  <si>
    <t>Subtotal SC5</t>
  </si>
  <si>
    <t>Subtotal TC0</t>
  </si>
  <si>
    <t>Subtotal SC4</t>
  </si>
  <si>
    <t>Subtotal SC3</t>
  </si>
  <si>
    <t>Subtotal SC2</t>
  </si>
  <si>
    <t>Subtotal SC1</t>
  </si>
  <si>
    <t>Areas by TC &amp; FC from MC</t>
  </si>
  <si>
    <t>Y</t>
  </si>
  <si>
    <t>Parameter</t>
  </si>
  <si>
    <r>
      <t xml:space="preserve">Table: Scheme Supply Schedule and Water </t>
    </r>
    <r>
      <rPr>
        <b/>
        <sz val="10"/>
        <rFont val="Arial"/>
        <family val="2"/>
      </rPr>
      <t>Balance Analysis</t>
    </r>
  </si>
  <si>
    <t>Crops/Month</t>
  </si>
  <si>
    <t>Maize 1</t>
  </si>
  <si>
    <t>Maize 2</t>
  </si>
  <si>
    <t>Beans_Peas</t>
  </si>
  <si>
    <t>Cabbage</t>
  </si>
  <si>
    <t>Garlic</t>
  </si>
  <si>
    <t>Carrot/Beet root</t>
  </si>
  <si>
    <t>Potato</t>
  </si>
  <si>
    <t>Wheat</t>
  </si>
  <si>
    <t>Beans_Peas 2</t>
  </si>
  <si>
    <t>Nr of days/month</t>
  </si>
  <si>
    <t>Net scheme irr.req.</t>
  </si>
  <si>
    <t xml:space="preserve"> (mm/day)</t>
  </si>
  <si>
    <t xml:space="preserve">       (mm/month)</t>
  </si>
  <si>
    <t xml:space="preserve">               (l/s/h)</t>
  </si>
  <si>
    <t>Irrigated area (%)</t>
  </si>
  <si>
    <t>Net sutable irrigation area (ha)</t>
  </si>
  <si>
    <t>Net actual area to be irrigated (ha)</t>
  </si>
  <si>
    <t>Demand</t>
  </si>
  <si>
    <t>Irrigation demand (l/s)</t>
  </si>
  <si>
    <t>Irrigation demand (Mm3)</t>
  </si>
  <si>
    <t>Peak water supply demand by 2040, (Mm3)</t>
  </si>
  <si>
    <t>Total demand, (Mm3)</t>
  </si>
  <si>
    <t>Base flow from Kerkero (m3/s)</t>
  </si>
  <si>
    <t>Base flow from Bollo (m3/s)</t>
  </si>
  <si>
    <t>Total Supply  (m3/s)</t>
  </si>
  <si>
    <t>Expected infrastructure &amp; unsuitable Area  =</t>
  </si>
  <si>
    <t>Study/Gross area=</t>
  </si>
  <si>
    <t>Extracted from layout map</t>
  </si>
  <si>
    <t>Observed Flood mark level at Headwork</t>
  </si>
  <si>
    <t>Existing river bed elevation</t>
  </si>
  <si>
    <t>Suction pipe axis above MFL</t>
  </si>
  <si>
    <t>Measured depth of minimum water in the river, d'</t>
  </si>
  <si>
    <t xml:space="preserve">Suction pipe to be submerged 4ds = </t>
  </si>
  <si>
    <t>Thus, sump hole depth= d'+4ds = 1.7m</t>
  </si>
  <si>
    <t>Hence, minor head loss on suction side (m) = Frictional loss + bend loss + (strainer + Valve) loss + Entry loss =</t>
  </si>
  <si>
    <t>Total Suction Head, Hs = Suction lift head + minor Head loss =</t>
  </si>
  <si>
    <t xml:space="preserve">Corr. factor = - 0.36m/300m altitude, </t>
  </si>
  <si>
    <t>Required Net positive suction head (NPSHR) is provided by the manufacture but for safety of the designed pump, the absolute head at the pump inlet must be calculated as:</t>
  </si>
  <si>
    <t>Delivery pipe axis outlet level</t>
  </si>
  <si>
    <t>Assumed new pipe</t>
  </si>
  <si>
    <t>Power requirement if electric</t>
  </si>
  <si>
    <t>Power requirement if diesel</t>
  </si>
  <si>
    <t>2 pumps</t>
  </si>
  <si>
    <t>Number of pumps operating at a time</t>
  </si>
  <si>
    <t xml:space="preserve">For peak condition </t>
  </si>
  <si>
    <t>from Kerkero alone</t>
  </si>
  <si>
    <t>Gross water requirement from Kerkero alone =</t>
  </si>
  <si>
    <t>m3/ha</t>
  </si>
  <si>
    <t>3 parallel pipes of each this much length</t>
  </si>
  <si>
    <t>Sump hole below RBL</t>
  </si>
  <si>
    <t>OGL on d/s side of reservoir</t>
  </si>
  <si>
    <t>OGL on u/s side of reservoir</t>
  </si>
  <si>
    <t xml:space="preserve">Avg. OGL + assumed tank ht </t>
  </si>
  <si>
    <t>Teff</t>
  </si>
  <si>
    <t>Pepper</t>
  </si>
  <si>
    <t>Flax</t>
  </si>
  <si>
    <t>Barley</t>
  </si>
  <si>
    <t>Irr.req. for actual area  (l/s/h) for 24hr</t>
  </si>
  <si>
    <t>Irrigation demand including 10% future demand (m3/s)</t>
  </si>
  <si>
    <r>
      <t xml:space="preserve">Expected irrigation supply from </t>
    </r>
    <r>
      <rPr>
        <b/>
        <sz val="10"/>
        <rFont val="Arial"/>
        <family val="2"/>
      </rPr>
      <t>Kerkero</t>
    </r>
    <r>
      <rPr>
        <sz val="10"/>
        <rFont val="Arial"/>
        <family val="2"/>
      </rPr>
      <t xml:space="preserve"> River for 24hr             (m3/s)</t>
    </r>
  </si>
  <si>
    <t>Irrigation demand (m3/s) for 24hr</t>
  </si>
  <si>
    <t>Irr.req. for actual area after 60% project efficiency (l/s/h) for 24hr</t>
  </si>
  <si>
    <t>Available Base flow in Bollo River</t>
  </si>
  <si>
    <t>Required discharge for net command area for 10hrs/day</t>
  </si>
  <si>
    <t>Expected to operate for 24hrs/day</t>
  </si>
  <si>
    <t>By two pupms operating at a time for 10hrs/day</t>
  </si>
  <si>
    <t>NPSHa should also satisfy minimum requirement, i.e. NPSHa &gt; 2.0</t>
  </si>
  <si>
    <t>Assume single Delivery pipe, thus Discharge = 2*That of suction side</t>
  </si>
  <si>
    <t>GS/DCI</t>
  </si>
  <si>
    <t>Table: Discharge statement of MCs &amp; SCs</t>
  </si>
  <si>
    <t>Required Q, m3/s</t>
  </si>
  <si>
    <t>Nr of TC</t>
  </si>
  <si>
    <t>if diesel</t>
  </si>
  <si>
    <t>Table: Design of pump for BK SSIP</t>
  </si>
  <si>
    <t xml:space="preserve">Peak irrigation duty for 24hrs per day,  </t>
  </si>
  <si>
    <t xml:space="preserve">Peak irrigation duty for pump operation hrs per day,  </t>
  </si>
  <si>
    <t>collected from CWR</t>
  </si>
  <si>
    <t>Q = q*A if all are supplied at a time in 10hrs/day</t>
  </si>
  <si>
    <t>Provide two operating pumps and one standby pump with capacities of P = 70HP/50KW if electric or 80HP/55KW if diesel; Total Pumping Head, Ht =40m &amp; discharge capacity of 76 l/s or 275m3/hr each. Efficiency of Coupled pump and motor will be 65% if electric or 56% if diesel</t>
  </si>
  <si>
    <t>Same schedule holds true then after i.e. pumps operating in day-1 will repeat here &amp; so on.</t>
  </si>
  <si>
    <t>Majority of the studied areas are excluded due to topography</t>
  </si>
  <si>
    <t>Gross Area</t>
  </si>
  <si>
    <t xml:space="preserve"> TC on MC1</t>
  </si>
  <si>
    <t xml:space="preserve"> TC on MC2</t>
  </si>
  <si>
    <t>FC on MC1</t>
  </si>
  <si>
    <t>FC on MC2</t>
  </si>
  <si>
    <t>Water Balance (Mm3)</t>
  </si>
  <si>
    <r>
      <t xml:space="preserve">Expected irrigation supply from Kerkero River for 24hr  (Mm3), </t>
    </r>
    <r>
      <rPr>
        <b/>
        <sz val="11"/>
        <color rgb="FFFF0000"/>
        <rFont val="Calibri"/>
        <family val="2"/>
        <scheme val="minor"/>
      </rPr>
      <t>26.2%</t>
    </r>
  </si>
  <si>
    <t>Balance for storage</t>
  </si>
  <si>
    <t>Max. MC capacity</t>
  </si>
  <si>
    <t>To be stored in NSR for 14 hrs</t>
  </si>
  <si>
    <t>To be stored for a max. of 10 hrs in BSR</t>
  </si>
  <si>
    <t>Thus, max. discharge to be pumped from Kerkero River</t>
  </si>
  <si>
    <t>Monthly low flow/Supply</t>
  </si>
  <si>
    <t>Monthly low flow/Supply  (Mm3)</t>
  </si>
  <si>
    <t>Max Area to be irrigated</t>
  </si>
  <si>
    <t>24/10</t>
  </si>
  <si>
    <t xml:space="preserve">Flow duration in MC2/MC1 </t>
  </si>
  <si>
    <t>from Ker+Bollo</t>
  </si>
  <si>
    <t>from Bollo alone</t>
  </si>
  <si>
    <t xml:space="preserve">Table: Analysis of Senario for Potential  Area Developement </t>
  </si>
  <si>
    <t>q10 (l/s/ha)</t>
  </si>
  <si>
    <t>q14 (l/s/ha)</t>
  </si>
  <si>
    <t>Full Irrigation</t>
  </si>
  <si>
    <t xml:space="preserve">Supplementary Irrigation </t>
  </si>
  <si>
    <t>Discharge, Q (l/s)</t>
  </si>
  <si>
    <t>Peak Duty, q24 (l/s/ha)</t>
  </si>
  <si>
    <t>Area that can be developed from Bollo during 14 hrs, A3 (ha)</t>
  </si>
  <si>
    <t>Area that can be developed from Bollo during 10 hrs, A2 (ha)</t>
  </si>
  <si>
    <t>Area that can be developed by pump, A1 (ha)</t>
  </si>
  <si>
    <t>Total Area that can be developed from all options (ha)</t>
  </si>
  <si>
    <t>Note: Though maximum area that can be developed by the measured base flow during supplementary Irrigation shows 260.8ha in this table, we took the identified net area of 257.5 ha for canal design.  Thus, the most d/s of 126 ha is to be irrigated only in supplementary.</t>
  </si>
  <si>
    <t xml:space="preserve">Thus areas for full irrigation are: </t>
  </si>
  <si>
    <t>Areas of SC1</t>
  </si>
  <si>
    <t>Areas of SC2</t>
  </si>
  <si>
    <t xml:space="preserve"> After of SC3 after NSR2</t>
  </si>
  <si>
    <t>Areas of SC3 up to TC3-20</t>
  </si>
  <si>
    <t>Subtotal for full irrigation</t>
  </si>
  <si>
    <t>F</t>
  </si>
  <si>
    <t>M</t>
  </si>
  <si>
    <t>O</t>
  </si>
  <si>
    <t>N</t>
  </si>
  <si>
    <t>Mean/sum</t>
  </si>
  <si>
    <t>Supply</t>
  </si>
  <si>
    <t>Base flow from Kerkero, m3/s</t>
  </si>
  <si>
    <t>Base flow from Bollo, m3/s</t>
  </si>
  <si>
    <t>Water Duty (l/s)</t>
  </si>
  <si>
    <t>Net irrigation area (ha)</t>
  </si>
  <si>
    <t>Peak annual demand for the next 15 years (l/s)</t>
  </si>
  <si>
    <t>Ambo Water Supply Location</t>
  </si>
  <si>
    <t>Z</t>
  </si>
  <si>
    <t>or 75 HP</t>
  </si>
  <si>
    <t>say 75HP</t>
  </si>
  <si>
    <t>Project Demand data</t>
  </si>
  <si>
    <t>Project Site data</t>
  </si>
  <si>
    <t>Suction side</t>
  </si>
  <si>
    <t>Delivery side</t>
  </si>
  <si>
    <t>Thus, supply is from two sources: Bollo River and Kerkero River. Bollo River has a base flow of 60 l/s and Kerkero River pumps are designed for supplying the balance from Kerkero River</t>
  </si>
  <si>
    <t>Note: X-section of pipe is to be taken from source to balancing storage independently</t>
  </si>
  <si>
    <t>I. Project Site and Studied data</t>
  </si>
  <si>
    <t>II. Determination of Pump Hydraulics</t>
  </si>
  <si>
    <t>III. Determination of pump capacity</t>
  </si>
  <si>
    <t xml:space="preserve">IV/ Decision </t>
  </si>
  <si>
    <t>0.7-0.95</t>
  </si>
  <si>
    <t>0.65-0.80</t>
  </si>
  <si>
    <t>Pumping 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</si>
</sst>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0.000"/>
    <numFmt numFmtId="165" formatCode="0.0000"/>
    <numFmt numFmtId="166" formatCode="_(* #,##0.0000_);_(* \(#,##0.0000\);_(* &quot;-&quot;??_);_(@_)"/>
    <numFmt numFmtId="167" formatCode="_(* #,##0.000_);_(* \(#,##0.000\);_(* &quot;-&quot;??_);_(@_)"/>
    <numFmt numFmtId="168" formatCode="0.0"/>
    <numFmt numFmtId="169" formatCode="#,##0.0_);\(#,##0.0\)"/>
    <numFmt numFmtId="170" formatCode="_(* #,##0.0_);_(* \(#,##0.0\);_(* &quot;-&quot;??_);_(@_)"/>
    <numFmt numFmtId="171" formatCode="#,##0.000_);\(#,##0.000\)"/>
    <numFmt numFmtId="172" formatCode="0.0%"/>
    <numFmt numFmtId="173" formatCode="_(* #,##0_);_(* \(#,##0\);_(* &quot;-&quot;??_);_(@_)"/>
    <numFmt numFmtId="174" formatCode="_-* #,##0.00_-;\-* #,##0.00_-;_-* &quot;-&quot;??_-;_-@_-"/>
    <numFmt numFmtId="175" formatCode="&quot;or&quot;\ 0&quot; m3/hr each&quot;"/>
  </numFmts>
  <fonts count="59" x14ac:knownFonts="1">
    <font>
      <sz val="11"/>
      <color theme="1"/>
      <name val="Calibri"/>
      <family val="2"/>
      <charset val="1"/>
      <scheme val="minor"/>
    </font>
    <font>
      <sz val="11"/>
      <color theme="1"/>
      <name val="Calibri"/>
      <family val="2"/>
      <scheme val="minor"/>
    </font>
    <font>
      <sz val="11"/>
      <color theme="1"/>
      <name val="Calibri"/>
      <family val="2"/>
      <charset val="1"/>
      <scheme val="minor"/>
    </font>
    <font>
      <b/>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b/>
      <sz val="11"/>
      <color theme="1"/>
      <name val="Calibri"/>
      <family val="2"/>
      <scheme val="minor"/>
    </font>
    <font>
      <b/>
      <sz val="9"/>
      <color indexed="81"/>
      <name val="Tahoma"/>
      <family val="2"/>
    </font>
    <font>
      <sz val="9"/>
      <color indexed="81"/>
      <name val="Tahoma"/>
      <family val="2"/>
    </font>
    <font>
      <vertAlign val="subscript"/>
      <sz val="11"/>
      <color theme="1"/>
      <name val="Calibri"/>
      <family val="2"/>
      <scheme val="minor"/>
    </font>
    <font>
      <b/>
      <sz val="10"/>
      <color theme="1"/>
      <name val="Arial"/>
      <family val="2"/>
    </font>
    <font>
      <sz val="10"/>
      <color theme="1"/>
      <name val="Symbol"/>
      <family val="1"/>
      <charset val="2"/>
    </font>
    <font>
      <b/>
      <sz val="10"/>
      <color theme="1"/>
      <name val="Calibri"/>
      <family val="2"/>
      <scheme val="minor"/>
    </font>
    <font>
      <sz val="10"/>
      <color theme="1"/>
      <name val="Calibri"/>
      <family val="2"/>
      <charset val="1"/>
      <scheme val="minor"/>
    </font>
    <font>
      <sz val="10"/>
      <color theme="1"/>
      <name val="Calibri"/>
      <family val="2"/>
    </font>
    <font>
      <sz val="9"/>
      <color rgb="FF000000"/>
      <name val="Arial"/>
      <family val="2"/>
    </font>
    <font>
      <sz val="10"/>
      <name val="Arial"/>
      <family val="2"/>
    </font>
    <font>
      <sz val="9"/>
      <color theme="1"/>
      <name val="Arial"/>
      <family val="2"/>
    </font>
    <font>
      <sz val="10"/>
      <color rgb="FF000000"/>
      <name val="Arial"/>
      <family val="2"/>
    </font>
    <font>
      <b/>
      <sz val="10"/>
      <name val="Arial"/>
      <family val="2"/>
    </font>
    <font>
      <b/>
      <sz val="10"/>
      <color rgb="FF000000"/>
      <name val="Arial"/>
      <family val="2"/>
    </font>
    <font>
      <b/>
      <sz val="8"/>
      <color theme="1"/>
      <name val="Arial"/>
      <family val="2"/>
    </font>
    <font>
      <sz val="10"/>
      <color theme="1"/>
      <name val="Calibri"/>
      <family val="2"/>
      <scheme val="minor"/>
    </font>
    <font>
      <sz val="10"/>
      <color rgb="FFFF0000"/>
      <name val="Calibri"/>
      <family val="2"/>
      <scheme val="minor"/>
    </font>
    <font>
      <sz val="8"/>
      <color theme="1"/>
      <name val="Calibri"/>
      <family val="2"/>
      <scheme val="minor"/>
    </font>
    <font>
      <b/>
      <sz val="9"/>
      <name val="Arial"/>
      <family val="2"/>
    </font>
    <font>
      <sz val="10"/>
      <name val="Calibri"/>
      <family val="2"/>
      <scheme val="minor"/>
    </font>
    <font>
      <b/>
      <sz val="9"/>
      <color theme="1"/>
      <name val="Calibri"/>
      <family val="2"/>
      <scheme val="minor"/>
    </font>
    <font>
      <b/>
      <sz val="9"/>
      <name val="Calibri"/>
      <family val="2"/>
      <scheme val="minor"/>
    </font>
    <font>
      <sz val="8"/>
      <name val="Calibri"/>
      <family val="2"/>
      <scheme val="minor"/>
    </font>
    <font>
      <sz val="9"/>
      <name val="Calibri"/>
      <family val="2"/>
      <scheme val="minor"/>
    </font>
    <font>
      <sz val="9"/>
      <name val="Arial"/>
      <family val="2"/>
    </font>
    <font>
      <b/>
      <u/>
      <sz val="10"/>
      <color rgb="FFFF0000"/>
      <name val="Calibri"/>
      <family val="2"/>
      <scheme val="minor"/>
    </font>
    <font>
      <vertAlign val="superscript"/>
      <sz val="10"/>
      <color theme="1"/>
      <name val="Calibri"/>
      <family val="2"/>
      <scheme val="minor"/>
    </font>
    <font>
      <u/>
      <sz val="10"/>
      <color theme="1"/>
      <name val="Calibri"/>
      <family val="2"/>
      <scheme val="minor"/>
    </font>
    <font>
      <sz val="10"/>
      <color rgb="FF000000"/>
      <name val="Candara"/>
      <family val="2"/>
    </font>
    <font>
      <vertAlign val="superscript"/>
      <sz val="10"/>
      <color rgb="FF000000"/>
      <name val="Candara"/>
      <family val="2"/>
    </font>
    <font>
      <vertAlign val="subscript"/>
      <sz val="10"/>
      <color theme="1"/>
      <name val="Calibri"/>
      <family val="2"/>
      <scheme val="minor"/>
    </font>
    <font>
      <b/>
      <sz val="9"/>
      <color theme="1"/>
      <name val="Arial"/>
      <family val="2"/>
    </font>
    <font>
      <sz val="9"/>
      <color theme="1"/>
      <name val="Symbol"/>
      <family val="1"/>
      <charset val="2"/>
    </font>
    <font>
      <sz val="9"/>
      <color theme="1"/>
      <name val="Calibri"/>
      <family val="2"/>
      <scheme val="minor"/>
    </font>
    <font>
      <vertAlign val="superscript"/>
      <sz val="9"/>
      <color theme="1"/>
      <name val="Calibri"/>
      <family val="2"/>
      <scheme val="minor"/>
    </font>
    <font>
      <vertAlign val="superscript"/>
      <sz val="9"/>
      <color theme="1"/>
      <name val="Arial"/>
      <family val="2"/>
    </font>
    <font>
      <b/>
      <sz val="11"/>
      <color rgb="FFFF0000"/>
      <name val="Calibri"/>
      <family val="2"/>
      <scheme val="minor"/>
    </font>
    <font>
      <sz val="10"/>
      <name val="Arial"/>
    </font>
    <font>
      <b/>
      <sz val="10"/>
      <color rgb="FFFF0000"/>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D6E3BC"/>
        <bgColor indexed="64"/>
      </patternFill>
    </fill>
    <fill>
      <patternFill patternType="solid">
        <fgColor rgb="FFB8CCE4"/>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s>
  <cellStyleXfs count="9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17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57" fillId="0" borderId="0"/>
    <xf numFmtId="43" fontId="57" fillId="0" borderId="0" applyFont="0" applyFill="0" applyBorder="0" applyAlignment="0" applyProtection="0"/>
  </cellStyleXfs>
  <cellXfs count="523">
    <xf numFmtId="0" fontId="0" fillId="0" borderId="0" xfId="0"/>
    <xf numFmtId="0" fontId="15" fillId="0" borderId="0" xfId="0" applyFont="1"/>
    <xf numFmtId="164" fontId="0" fillId="0" borderId="0" xfId="0" applyNumberFormat="1"/>
    <xf numFmtId="0" fontId="0" fillId="0" borderId="10" xfId="0" applyBorder="1"/>
    <xf numFmtId="0" fontId="0" fillId="0" borderId="0" xfId="0" applyAlignment="1">
      <alignment horizontal="right"/>
    </xf>
    <xf numFmtId="43" fontId="0" fillId="0" borderId="10" xfId="42" applyFont="1" applyBorder="1"/>
    <xf numFmtId="165" fontId="0" fillId="0" borderId="10" xfId="0" applyNumberFormat="1" applyBorder="1"/>
    <xf numFmtId="2" fontId="0" fillId="0" borderId="10" xfId="0" applyNumberFormat="1" applyBorder="1"/>
    <xf numFmtId="167" fontId="0" fillId="0" borderId="10" xfId="42" applyNumberFormat="1" applyFont="1" applyBorder="1"/>
    <xf numFmtId="2" fontId="0" fillId="0" borderId="0" xfId="0" applyNumberFormat="1"/>
    <xf numFmtId="0" fontId="0" fillId="0" borderId="0" xfId="0" applyAlignment="1">
      <alignment horizontal="left"/>
    </xf>
    <xf numFmtId="43" fontId="0" fillId="0" borderId="0" xfId="0" applyNumberFormat="1"/>
    <xf numFmtId="2" fontId="0" fillId="0" borderId="10" xfId="0" applyNumberFormat="1" applyBorder="1" applyAlignment="1">
      <alignment horizontal="center"/>
    </xf>
    <xf numFmtId="164" fontId="0" fillId="0" borderId="10" xfId="0" applyNumberFormat="1" applyBorder="1"/>
    <xf numFmtId="0" fontId="0" fillId="0" borderId="10" xfId="0" applyFill="1" applyBorder="1"/>
    <xf numFmtId="1" fontId="0" fillId="0" borderId="10" xfId="0" applyNumberFormat="1" applyBorder="1"/>
    <xf numFmtId="168" fontId="0" fillId="0" borderId="10" xfId="0" applyNumberFormat="1" applyBorder="1"/>
    <xf numFmtId="43" fontId="0" fillId="0" borderId="0" xfId="0" applyNumberFormat="1" applyBorder="1"/>
    <xf numFmtId="0" fontId="0" fillId="0" borderId="0" xfId="0" applyBorder="1"/>
    <xf numFmtId="0" fontId="0" fillId="0" borderId="0" xfId="0" applyBorder="1" applyAlignment="1">
      <alignment horizontal="right"/>
    </xf>
    <xf numFmtId="168" fontId="0" fillId="0" borderId="10" xfId="0" applyNumberFormat="1" applyBorder="1" applyAlignment="1">
      <alignment horizontal="center"/>
    </xf>
    <xf numFmtId="1" fontId="0" fillId="0" borderId="10" xfId="0" applyNumberFormat="1" applyBorder="1" applyAlignment="1">
      <alignment horizontal="center"/>
    </xf>
    <xf numFmtId="0" fontId="0" fillId="0" borderId="22" xfId="0" applyBorder="1"/>
    <xf numFmtId="0" fontId="0" fillId="0" borderId="27" xfId="0" applyBorder="1"/>
    <xf numFmtId="0" fontId="0" fillId="0" borderId="31" xfId="0" applyBorder="1"/>
    <xf numFmtId="0" fontId="0" fillId="0" borderId="25" xfId="0" applyBorder="1"/>
    <xf numFmtId="0" fontId="0" fillId="0" borderId="33" xfId="0" applyBorder="1"/>
    <xf numFmtId="0" fontId="29" fillId="0" borderId="10" xfId="0" applyFont="1" applyBorder="1"/>
    <xf numFmtId="0" fontId="0" fillId="0" borderId="16" xfId="0" applyBorder="1"/>
    <xf numFmtId="170" fontId="0" fillId="0" borderId="10" xfId="42" applyNumberFormat="1" applyFont="1" applyBorder="1"/>
    <xf numFmtId="0" fontId="0" fillId="0" borderId="10" xfId="0" applyBorder="1" applyAlignment="1">
      <alignment vertical="center"/>
    </xf>
    <xf numFmtId="43" fontId="0" fillId="0" borderId="10" xfId="42" applyNumberFormat="1" applyFont="1" applyBorder="1"/>
    <xf numFmtId="0" fontId="0" fillId="0" borderId="28" xfId="0" applyBorder="1"/>
    <xf numFmtId="0" fontId="0" fillId="0" borderId="35" xfId="0" applyBorder="1"/>
    <xf numFmtId="0" fontId="0" fillId="0" borderId="36" xfId="0" applyBorder="1"/>
    <xf numFmtId="0" fontId="0" fillId="0" borderId="41" xfId="0" applyBorder="1"/>
    <xf numFmtId="0" fontId="31" fillId="0" borderId="10" xfId="0" applyFont="1" applyBorder="1" applyAlignment="1">
      <alignment horizontal="left" vertical="center"/>
    </xf>
    <xf numFmtId="167" fontId="0" fillId="0" borderId="16" xfId="42" applyNumberFormat="1" applyFont="1" applyBorder="1"/>
    <xf numFmtId="170" fontId="0" fillId="0" borderId="0" xfId="42" applyNumberFormat="1" applyFont="1" applyBorder="1"/>
    <xf numFmtId="0" fontId="0" fillId="0" borderId="10" xfId="0" applyBorder="1" applyAlignment="1">
      <alignment wrapText="1"/>
    </xf>
    <xf numFmtId="0" fontId="35" fillId="0" borderId="0" xfId="0" applyFont="1"/>
    <xf numFmtId="0" fontId="35" fillId="0" borderId="0" xfId="0" applyFont="1" applyAlignment="1">
      <alignment horizontal="center"/>
    </xf>
    <xf numFmtId="2" fontId="35" fillId="0" borderId="10" xfId="0" applyNumberFormat="1" applyFont="1" applyBorder="1" applyAlignment="1">
      <alignment horizontal="center"/>
    </xf>
    <xf numFmtId="0" fontId="35" fillId="0" borderId="10" xfId="0" applyFont="1" applyBorder="1"/>
    <xf numFmtId="2" fontId="0" fillId="0" borderId="0" xfId="0" applyNumberFormat="1" applyBorder="1"/>
    <xf numFmtId="0" fontId="36" fillId="0" borderId="0" xfId="0" applyFont="1"/>
    <xf numFmtId="0" fontId="19" fillId="0" borderId="0" xfId="0" applyFont="1" applyBorder="1" applyAlignment="1"/>
    <xf numFmtId="0" fontId="19" fillId="34" borderId="30" xfId="0" applyFont="1" applyFill="1" applyBorder="1" applyAlignment="1">
      <alignment horizontal="center" vertical="top" wrapText="1"/>
    </xf>
    <xf numFmtId="0" fontId="0" fillId="0" borderId="25" xfId="0" applyFill="1" applyBorder="1"/>
    <xf numFmtId="0" fontId="19" fillId="34" borderId="16" xfId="0" applyFont="1" applyFill="1" applyBorder="1" applyAlignment="1">
      <alignment horizontal="center" vertical="top" wrapText="1"/>
    </xf>
    <xf numFmtId="0" fontId="19" fillId="34" borderId="28" xfId="0" applyFont="1" applyFill="1" applyBorder="1" applyAlignment="1">
      <alignment horizontal="center" vertical="top" wrapText="1"/>
    </xf>
    <xf numFmtId="0" fontId="19" fillId="34" borderId="23" xfId="0" applyFont="1" applyFill="1" applyBorder="1" applyAlignment="1">
      <alignment vertical="top"/>
    </xf>
    <xf numFmtId="0" fontId="0" fillId="0" borderId="44" xfId="0" applyBorder="1"/>
    <xf numFmtId="0" fontId="0" fillId="0" borderId="52" xfId="0" applyBorder="1"/>
    <xf numFmtId="0" fontId="19" fillId="34" borderId="53" xfId="0" applyFont="1" applyFill="1" applyBorder="1" applyAlignment="1">
      <alignment vertical="top"/>
    </xf>
    <xf numFmtId="164" fontId="0" fillId="0" borderId="22" xfId="0" applyNumberFormat="1" applyBorder="1"/>
    <xf numFmtId="0" fontId="35" fillId="0" borderId="10" xfId="0" applyFont="1" applyBorder="1" applyAlignment="1">
      <alignment horizontal="center"/>
    </xf>
    <xf numFmtId="2" fontId="0" fillId="0" borderId="16" xfId="0" applyNumberFormat="1" applyBorder="1" applyAlignment="1">
      <alignment horizontal="center"/>
    </xf>
    <xf numFmtId="0" fontId="33" fillId="35" borderId="10" xfId="0" applyFont="1" applyFill="1" applyBorder="1" applyAlignment="1">
      <alignment horizontal="center" vertical="center"/>
    </xf>
    <xf numFmtId="0" fontId="31" fillId="0" borderId="10" xfId="0" applyFont="1" applyBorder="1" applyAlignment="1">
      <alignment horizontal="center" vertical="center"/>
    </xf>
    <xf numFmtId="0" fontId="19" fillId="34" borderId="0" xfId="0" applyFont="1" applyFill="1" applyBorder="1" applyAlignment="1">
      <alignment horizontal="left"/>
    </xf>
    <xf numFmtId="0" fontId="41" fillId="0" borderId="0" xfId="0" applyFont="1" applyBorder="1"/>
    <xf numFmtId="0" fontId="42" fillId="0" borderId="0" xfId="0" applyFont="1" applyBorder="1"/>
    <xf numFmtId="0" fontId="43" fillId="0" borderId="0" xfId="0" applyFont="1" applyBorder="1"/>
    <xf numFmtId="0" fontId="29" fillId="0" borderId="0" xfId="0" applyFont="1" applyBorder="1"/>
    <xf numFmtId="0" fontId="29" fillId="0" borderId="0" xfId="0" applyFont="1" applyBorder="1" applyAlignment="1">
      <alignment horizontal="right" vertical="center" wrapText="1"/>
    </xf>
    <xf numFmtId="0" fontId="0" fillId="0" borderId="0" xfId="0" applyBorder="1" applyAlignment="1">
      <alignment horizontal="center" vertical="center"/>
    </xf>
    <xf numFmtId="170" fontId="0" fillId="0" borderId="0" xfId="42" applyNumberFormat="1" applyFont="1" applyBorder="1" applyAlignment="1">
      <alignment vertical="center"/>
    </xf>
    <xf numFmtId="168" fontId="0" fillId="0" borderId="0" xfId="0" applyNumberFormat="1" applyBorder="1"/>
    <xf numFmtId="0" fontId="32" fillId="0" borderId="0" xfId="0" applyFont="1" applyBorder="1"/>
    <xf numFmtId="2" fontId="32" fillId="0" borderId="0" xfId="0" applyNumberFormat="1" applyFont="1" applyBorder="1"/>
    <xf numFmtId="169" fontId="31" fillId="0" borderId="10" xfId="42" applyNumberFormat="1" applyFont="1" applyBorder="1" applyAlignment="1">
      <alignment horizontal="center" vertical="center"/>
    </xf>
    <xf numFmtId="0" fontId="31" fillId="0" borderId="10" xfId="0" applyFont="1" applyFill="1" applyBorder="1" applyAlignment="1">
      <alignment horizontal="center" vertical="center"/>
    </xf>
    <xf numFmtId="0" fontId="25" fillId="34" borderId="10" xfId="0" applyFont="1" applyFill="1" applyBorder="1"/>
    <xf numFmtId="2" fontId="0" fillId="0" borderId="30" xfId="0" applyNumberFormat="1" applyBorder="1" applyAlignment="1">
      <alignment horizontal="center" vertical="center"/>
    </xf>
    <xf numFmtId="164" fontId="0" fillId="0" borderId="31" xfId="0" applyNumberFormat="1" applyBorder="1" applyAlignment="1">
      <alignment horizontal="center" vertical="center"/>
    </xf>
    <xf numFmtId="0" fontId="0" fillId="0" borderId="24" xfId="0" applyBorder="1" applyAlignment="1">
      <alignment horizontal="right"/>
    </xf>
    <xf numFmtId="0" fontId="0" fillId="0" borderId="26" xfId="0" applyBorder="1" applyAlignment="1">
      <alignment horizontal="right"/>
    </xf>
    <xf numFmtId="0" fontId="0" fillId="0" borderId="29" xfId="0" applyBorder="1" applyAlignment="1">
      <alignment horizontal="right"/>
    </xf>
    <xf numFmtId="0" fontId="0" fillId="0" borderId="23" xfId="0" applyBorder="1" applyAlignment="1">
      <alignment horizontal="right"/>
    </xf>
    <xf numFmtId="164" fontId="0" fillId="0" borderId="31" xfId="0" applyNumberFormat="1" applyBorder="1"/>
    <xf numFmtId="0" fontId="0" fillId="0" borderId="47" xfId="0" applyBorder="1"/>
    <xf numFmtId="164" fontId="0" fillId="0" borderId="25" xfId="0" applyNumberFormat="1" applyFill="1" applyBorder="1"/>
    <xf numFmtId="164" fontId="0" fillId="0" borderId="31" xfId="0" applyNumberFormat="1" applyFill="1" applyBorder="1"/>
    <xf numFmtId="0" fontId="0" fillId="0" borderId="24" xfId="0" applyBorder="1" applyAlignment="1">
      <alignment vertical="center"/>
    </xf>
    <xf numFmtId="0" fontId="0" fillId="0" borderId="22" xfId="0" applyBorder="1" applyAlignment="1">
      <alignment vertical="center"/>
    </xf>
    <xf numFmtId="0" fontId="0" fillId="0" borderId="30" xfId="0" applyBorder="1" applyAlignment="1">
      <alignment vertical="center"/>
    </xf>
    <xf numFmtId="0" fontId="29" fillId="0" borderId="0" xfId="0" applyFont="1"/>
    <xf numFmtId="43" fontId="0" fillId="33" borderId="0" xfId="42" applyFont="1" applyFill="1"/>
    <xf numFmtId="164" fontId="0" fillId="0" borderId="16" xfId="0" applyNumberFormat="1" applyBorder="1"/>
    <xf numFmtId="170" fontId="19" fillId="0" borderId="10" xfId="42" applyNumberFormat="1" applyFont="1" applyBorder="1"/>
    <xf numFmtId="0" fontId="0" fillId="0" borderId="32" xfId="0" applyBorder="1" applyAlignment="1">
      <alignment horizontal="right"/>
    </xf>
    <xf numFmtId="43" fontId="0" fillId="0" borderId="49" xfId="42" applyNumberFormat="1" applyFont="1" applyBorder="1" applyAlignment="1">
      <alignment vertical="center"/>
    </xf>
    <xf numFmtId="43" fontId="0" fillId="0" borderId="38" xfId="42" applyNumberFormat="1" applyFont="1" applyBorder="1" applyAlignment="1">
      <alignment vertical="center"/>
    </xf>
    <xf numFmtId="0" fontId="0" fillId="0" borderId="31" xfId="0" applyFill="1" applyBorder="1"/>
    <xf numFmtId="0" fontId="0" fillId="0" borderId="53" xfId="0" applyBorder="1" applyAlignment="1">
      <alignment vertical="center"/>
    </xf>
    <xf numFmtId="0" fontId="0" fillId="0" borderId="44" xfId="0" applyBorder="1" applyAlignment="1">
      <alignment horizontal="right"/>
    </xf>
    <xf numFmtId="2" fontId="0" fillId="0" borderId="43" xfId="0" applyNumberFormat="1" applyBorder="1" applyAlignment="1">
      <alignment vertical="center"/>
    </xf>
    <xf numFmtId="164" fontId="0" fillId="0" borderId="47" xfId="0" applyNumberFormat="1" applyBorder="1" applyAlignment="1">
      <alignment vertical="center"/>
    </xf>
    <xf numFmtId="0" fontId="0" fillId="0" borderId="65" xfId="0" applyBorder="1"/>
    <xf numFmtId="0" fontId="0" fillId="0" borderId="34" xfId="0" applyBorder="1" applyAlignment="1">
      <alignment horizontal="right"/>
    </xf>
    <xf numFmtId="0" fontId="0" fillId="0" borderId="52" xfId="0" applyBorder="1" applyAlignment="1">
      <alignment vertical="center"/>
    </xf>
    <xf numFmtId="164" fontId="0" fillId="0" borderId="25" xfId="0" applyNumberFormat="1" applyBorder="1"/>
    <xf numFmtId="0" fontId="0" fillId="0" borderId="43" xfId="0" applyBorder="1" applyAlignment="1">
      <alignment vertical="center"/>
    </xf>
    <xf numFmtId="0" fontId="0" fillId="0" borderId="43" xfId="0" applyBorder="1"/>
    <xf numFmtId="164" fontId="0" fillId="0" borderId="47" xfId="0" applyNumberFormat="1" applyBorder="1"/>
    <xf numFmtId="0" fontId="0" fillId="0" borderId="53" xfId="0" applyBorder="1" applyAlignment="1">
      <alignment horizontal="center" vertical="center"/>
    </xf>
    <xf numFmtId="2" fontId="0" fillId="0" borderId="10" xfId="0" applyNumberFormat="1" applyBorder="1" applyAlignment="1">
      <alignment horizontal="center" vertical="center"/>
    </xf>
    <xf numFmtId="164" fontId="0" fillId="0" borderId="17" xfId="0" applyNumberFormat="1" applyBorder="1" applyAlignment="1">
      <alignment horizontal="center" vertical="center"/>
    </xf>
    <xf numFmtId="0" fontId="0" fillId="0" borderId="54" xfId="0"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right"/>
    </xf>
    <xf numFmtId="0" fontId="0" fillId="0" borderId="55" xfId="0" applyBorder="1"/>
    <xf numFmtId="0" fontId="0" fillId="0" borderId="34" xfId="0" applyBorder="1" applyAlignment="1">
      <alignment vertical="center"/>
    </xf>
    <xf numFmtId="0" fontId="0" fillId="0" borderId="35" xfId="0" applyBorder="1" applyAlignment="1">
      <alignment vertical="center"/>
    </xf>
    <xf numFmtId="164" fontId="0" fillId="0" borderId="36" xfId="0" applyNumberFormat="1" applyBorder="1" applyAlignment="1">
      <alignment vertical="center"/>
    </xf>
    <xf numFmtId="164" fontId="0" fillId="0" borderId="27" xfId="0" applyNumberFormat="1" applyBorder="1"/>
    <xf numFmtId="2" fontId="0" fillId="0" borderId="35" xfId="0" applyNumberFormat="1" applyBorder="1" applyAlignment="1">
      <alignment horizontal="center" vertical="center"/>
    </xf>
    <xf numFmtId="164" fontId="0" fillId="0" borderId="36" xfId="0" applyNumberFormat="1" applyBorder="1" applyAlignment="1">
      <alignment horizontal="center" vertical="center"/>
    </xf>
    <xf numFmtId="164" fontId="0" fillId="0" borderId="28" xfId="0" applyNumberFormat="1" applyBorder="1"/>
    <xf numFmtId="2" fontId="0" fillId="0" borderId="10" xfId="0" applyNumberFormat="1" applyBorder="1" applyAlignment="1">
      <alignment vertical="center"/>
    </xf>
    <xf numFmtId="2" fontId="0" fillId="0" borderId="22" xfId="0" applyNumberFormat="1" applyBorder="1" applyAlignment="1">
      <alignment vertical="center"/>
    </xf>
    <xf numFmtId="164" fontId="0" fillId="0" borderId="38" xfId="0" applyNumberFormat="1" applyBorder="1" applyAlignment="1">
      <alignment vertical="center"/>
    </xf>
    <xf numFmtId="164" fontId="0" fillId="0" borderId="17" xfId="0" applyNumberFormat="1" applyBorder="1" applyAlignment="1">
      <alignment vertical="center"/>
    </xf>
    <xf numFmtId="0" fontId="0" fillId="0" borderId="45" xfId="0" applyBorder="1" applyAlignment="1">
      <alignment horizontal="right"/>
    </xf>
    <xf numFmtId="0" fontId="0" fillId="0" borderId="46" xfId="0" applyBorder="1"/>
    <xf numFmtId="164" fontId="0" fillId="0" borderId="67" xfId="0" applyNumberFormat="1" applyBorder="1" applyAlignment="1">
      <alignment vertical="center"/>
    </xf>
    <xf numFmtId="164" fontId="0" fillId="0" borderId="36" xfId="0" applyNumberFormat="1" applyBorder="1"/>
    <xf numFmtId="0" fontId="0" fillId="0" borderId="66" xfId="0" applyBorder="1" applyAlignment="1">
      <alignment vertical="center"/>
    </xf>
    <xf numFmtId="0" fontId="0" fillId="0" borderId="66" xfId="0" applyBorder="1"/>
    <xf numFmtId="0" fontId="0" fillId="0" borderId="66" xfId="0" applyBorder="1" applyAlignment="1">
      <alignment horizontal="center" vertical="center"/>
    </xf>
    <xf numFmtId="0" fontId="0" fillId="0" borderId="40" xfId="0"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2" fontId="19" fillId="0" borderId="36" xfId="0" applyNumberFormat="1" applyFont="1" applyBorder="1" applyAlignment="1">
      <alignment horizontal="center" vertical="center"/>
    </xf>
    <xf numFmtId="43" fontId="19" fillId="0" borderId="35" xfId="42" applyFont="1" applyBorder="1" applyAlignment="1">
      <alignment horizontal="center" vertical="center"/>
    </xf>
    <xf numFmtId="0" fontId="19" fillId="0" borderId="34" xfId="0" applyFont="1" applyBorder="1" applyAlignment="1">
      <alignment vertical="center"/>
    </xf>
    <xf numFmtId="2" fontId="19" fillId="0" borderId="35" xfId="0" applyNumberFormat="1" applyFont="1" applyBorder="1" applyAlignment="1">
      <alignment horizontal="center" vertical="center"/>
    </xf>
    <xf numFmtId="43" fontId="25" fillId="0" borderId="35" xfId="42" applyFont="1" applyBorder="1" applyAlignment="1">
      <alignment horizontal="center" vertical="center"/>
    </xf>
    <xf numFmtId="2" fontId="25" fillId="0" borderId="36" xfId="0" applyNumberFormat="1" applyFont="1" applyBorder="1" applyAlignment="1">
      <alignment horizontal="center" vertical="center"/>
    </xf>
    <xf numFmtId="164" fontId="0" fillId="0" borderId="49" xfId="0" applyNumberFormat="1" applyBorder="1" applyAlignment="1">
      <alignment vertical="center"/>
    </xf>
    <xf numFmtId="43" fontId="25" fillId="0" borderId="41" xfId="42" applyFont="1" applyBorder="1" applyAlignment="1">
      <alignment horizontal="center" vertical="center"/>
    </xf>
    <xf numFmtId="2" fontId="19" fillId="0" borderId="46" xfId="0" applyNumberFormat="1" applyFont="1" applyBorder="1" applyAlignment="1">
      <alignment horizontal="center" vertical="center"/>
    </xf>
    <xf numFmtId="168" fontId="19" fillId="0" borderId="36" xfId="0" applyNumberFormat="1" applyFont="1" applyBorder="1" applyAlignment="1">
      <alignment horizontal="center" vertical="center"/>
    </xf>
    <xf numFmtId="0" fontId="0" fillId="0" borderId="25" xfId="0" applyBorder="1" applyAlignment="1">
      <alignment vertical="center"/>
    </xf>
    <xf numFmtId="2" fontId="0" fillId="0" borderId="16" xfId="0" applyNumberFormat="1" applyBorder="1" applyAlignment="1">
      <alignment vertical="center"/>
    </xf>
    <xf numFmtId="0" fontId="0" fillId="0" borderId="28" xfId="0" applyBorder="1" applyAlignment="1">
      <alignment vertical="center"/>
    </xf>
    <xf numFmtId="43" fontId="25" fillId="0" borderId="43" xfId="42" applyFont="1" applyBorder="1" applyAlignment="1">
      <alignment horizontal="center" vertical="center"/>
    </xf>
    <xf numFmtId="2" fontId="19" fillId="0" borderId="47" xfId="0" applyNumberFormat="1" applyFont="1" applyBorder="1" applyAlignment="1">
      <alignment horizontal="center" vertical="center"/>
    </xf>
    <xf numFmtId="0" fontId="0" fillId="0" borderId="67" xfId="0" applyBorder="1" applyAlignment="1">
      <alignment vertical="center"/>
    </xf>
    <xf numFmtId="0" fontId="0" fillId="0" borderId="40" xfId="0" applyBorder="1"/>
    <xf numFmtId="0" fontId="0" fillId="0" borderId="13" xfId="0" applyBorder="1" applyAlignment="1">
      <alignment vertical="center"/>
    </xf>
    <xf numFmtId="2" fontId="19" fillId="0" borderId="43" xfId="0" applyNumberFormat="1" applyFont="1" applyBorder="1" applyAlignment="1">
      <alignment horizontal="center"/>
    </xf>
    <xf numFmtId="2" fontId="19" fillId="0" borderId="47" xfId="0" applyNumberFormat="1" applyFont="1" applyBorder="1" applyAlignment="1">
      <alignment horizontal="center"/>
    </xf>
    <xf numFmtId="170" fontId="25" fillId="0" borderId="35" xfId="42" applyNumberFormat="1" applyFont="1" applyBorder="1" applyAlignment="1">
      <alignment horizontal="center" vertical="center"/>
    </xf>
    <xf numFmtId="168" fontId="19" fillId="0" borderId="43" xfId="0" applyNumberFormat="1" applyFont="1" applyBorder="1" applyAlignment="1">
      <alignment horizontal="center"/>
    </xf>
    <xf numFmtId="0" fontId="0" fillId="0" borderId="36" xfId="0" applyBorder="1" applyAlignment="1">
      <alignment horizontal="center"/>
    </xf>
    <xf numFmtId="0" fontId="0" fillId="0" borderId="55" xfId="0" applyBorder="1" applyAlignment="1">
      <alignment horizontal="right"/>
    </xf>
    <xf numFmtId="2" fontId="0" fillId="0" borderId="68" xfId="0" applyNumberFormat="1" applyBorder="1" applyAlignment="1">
      <alignment horizontal="left"/>
    </xf>
    <xf numFmtId="2" fontId="0" fillId="0" borderId="57" xfId="0" applyNumberFormat="1" applyBorder="1" applyAlignment="1">
      <alignment horizontal="left"/>
    </xf>
    <xf numFmtId="0" fontId="0" fillId="0" borderId="55" xfId="0" applyBorder="1" applyAlignment="1">
      <alignment horizontal="center"/>
    </xf>
    <xf numFmtId="0" fontId="0" fillId="0" borderId="69" xfId="0" applyBorder="1" applyAlignment="1">
      <alignment horizontal="center"/>
    </xf>
    <xf numFmtId="0" fontId="31" fillId="0" borderId="24" xfId="0" applyFont="1" applyBorder="1" applyAlignment="1">
      <alignment horizontal="left" vertical="center"/>
    </xf>
    <xf numFmtId="0" fontId="31" fillId="0" borderId="26" xfId="0" applyFont="1" applyBorder="1" applyAlignment="1">
      <alignment horizontal="left" vertical="center"/>
    </xf>
    <xf numFmtId="0" fontId="31" fillId="0" borderId="35" xfId="0" applyFont="1" applyBorder="1" applyAlignment="1">
      <alignment horizontal="center" vertical="center" wrapText="1"/>
    </xf>
    <xf numFmtId="0" fontId="25" fillId="0" borderId="0" xfId="0" applyFont="1" applyAlignment="1">
      <alignment vertical="center"/>
    </xf>
    <xf numFmtId="0" fontId="25" fillId="34" borderId="10" xfId="0" applyFont="1" applyFill="1" applyBorder="1" applyAlignment="1">
      <alignment horizontal="center"/>
    </xf>
    <xf numFmtId="0" fontId="25" fillId="0" borderId="10" xfId="0" applyFont="1" applyBorder="1"/>
    <xf numFmtId="0" fontId="45" fillId="0" borderId="10" xfId="0" applyFont="1" applyBorder="1" applyAlignment="1">
      <alignment vertical="center"/>
    </xf>
    <xf numFmtId="168" fontId="35" fillId="0" borderId="10" xfId="0" applyNumberFormat="1" applyFont="1" applyBorder="1" applyAlignment="1">
      <alignment horizontal="center"/>
    </xf>
    <xf numFmtId="165" fontId="35" fillId="0" borderId="10" xfId="0" applyNumberFormat="1" applyFont="1" applyBorder="1" applyAlignment="1">
      <alignment horizontal="center"/>
    </xf>
    <xf numFmtId="0" fontId="36" fillId="0" borderId="10" xfId="0" applyFont="1" applyBorder="1"/>
    <xf numFmtId="171" fontId="35" fillId="0" borderId="10" xfId="42" applyNumberFormat="1" applyFont="1" applyBorder="1" applyAlignment="1">
      <alignment horizontal="center"/>
    </xf>
    <xf numFmtId="2" fontId="35" fillId="36" borderId="10" xfId="0" applyNumberFormat="1" applyFont="1" applyFill="1" applyBorder="1" applyAlignment="1">
      <alignment horizontal="center"/>
    </xf>
    <xf numFmtId="39" fontId="35" fillId="0" borderId="10" xfId="42" applyNumberFormat="1" applyFont="1" applyBorder="1" applyAlignment="1">
      <alignment horizontal="center"/>
    </xf>
    <xf numFmtId="0" fontId="35" fillId="0" borderId="10" xfId="0" applyFont="1" applyBorder="1" applyAlignment="1">
      <alignment vertical="center"/>
    </xf>
    <xf numFmtId="39" fontId="35" fillId="0" borderId="10" xfId="42" applyNumberFormat="1" applyFont="1" applyBorder="1" applyAlignment="1">
      <alignment horizontal="center" vertical="center"/>
    </xf>
    <xf numFmtId="0" fontId="35" fillId="0" borderId="10" xfId="0" applyFont="1" applyBorder="1" applyAlignment="1">
      <alignment horizontal="center" vertical="center"/>
    </xf>
    <xf numFmtId="169" fontId="35" fillId="0" borderId="10" xfId="42" applyNumberFormat="1" applyFont="1" applyBorder="1" applyAlignment="1">
      <alignment horizontal="center"/>
    </xf>
    <xf numFmtId="0" fontId="35" fillId="0" borderId="10" xfId="0" applyFont="1" applyBorder="1" applyAlignment="1">
      <alignment wrapText="1"/>
    </xf>
    <xf numFmtId="39" fontId="35" fillId="0" borderId="10" xfId="0" applyNumberFormat="1" applyFont="1" applyBorder="1" applyAlignment="1">
      <alignment horizontal="center" vertical="center"/>
    </xf>
    <xf numFmtId="0" fontId="48" fillId="0" borderId="10" xfId="0" applyFont="1" applyBorder="1"/>
    <xf numFmtId="0" fontId="48" fillId="0" borderId="10" xfId="0" applyFont="1" applyBorder="1" applyAlignment="1">
      <alignment vertical="center"/>
    </xf>
    <xf numFmtId="2" fontId="35" fillId="0" borderId="10" xfId="0" applyNumberFormat="1" applyFont="1" applyBorder="1" applyAlignment="1">
      <alignment horizontal="center" vertical="center"/>
    </xf>
    <xf numFmtId="0" fontId="35" fillId="0" borderId="0" xfId="0" applyFont="1" applyBorder="1"/>
    <xf numFmtId="0" fontId="36" fillId="0" borderId="10" xfId="0" applyFont="1" applyBorder="1" applyAlignment="1">
      <alignment horizontal="center"/>
    </xf>
    <xf numFmtId="39" fontId="35" fillId="0" borderId="10" xfId="0" applyNumberFormat="1" applyFont="1" applyBorder="1" applyAlignment="1">
      <alignment horizontal="center"/>
    </xf>
    <xf numFmtId="0" fontId="35" fillId="0" borderId="17" xfId="0" applyFont="1" applyBorder="1"/>
    <xf numFmtId="169" fontId="25" fillId="37" borderId="10" xfId="42" applyNumberFormat="1" applyFont="1" applyFill="1" applyBorder="1" applyAlignment="1">
      <alignment horizontal="center"/>
    </xf>
    <xf numFmtId="0" fontId="36" fillId="0" borderId="16" xfId="0" applyFont="1" applyBorder="1" applyAlignment="1">
      <alignment horizontal="right"/>
    </xf>
    <xf numFmtId="0" fontId="36" fillId="0" borderId="17" xfId="0" applyFont="1" applyBorder="1"/>
    <xf numFmtId="0" fontId="36" fillId="0" borderId="18" xfId="0" applyFont="1" applyBorder="1"/>
    <xf numFmtId="0" fontId="36" fillId="0" borderId="10" xfId="0" applyFont="1" applyBorder="1" applyAlignment="1">
      <alignment horizontal="right"/>
    </xf>
    <xf numFmtId="0" fontId="36" fillId="0" borderId="15" xfId="0" applyFont="1" applyBorder="1" applyAlignment="1">
      <alignment horizontal="right"/>
    </xf>
    <xf numFmtId="2" fontId="36" fillId="0" borderId="12" xfId="0" applyNumberFormat="1" applyFont="1" applyBorder="1"/>
    <xf numFmtId="0" fontId="36" fillId="0" borderId="14" xfId="0" applyFont="1" applyBorder="1"/>
    <xf numFmtId="0" fontId="35" fillId="0" borderId="0" xfId="0" applyFont="1" applyBorder="1" applyAlignment="1">
      <alignment horizontal="left" vertical="top" wrapText="1"/>
    </xf>
    <xf numFmtId="0" fontId="25" fillId="0" borderId="0" xfId="0" applyFont="1" applyBorder="1" applyAlignment="1">
      <alignment horizontal="left"/>
    </xf>
    <xf numFmtId="0" fontId="35" fillId="0" borderId="0" xfId="0" applyFont="1" applyBorder="1" applyAlignment="1">
      <alignment horizontal="center"/>
    </xf>
    <xf numFmtId="0" fontId="51" fillId="35" borderId="69" xfId="0" applyFont="1" applyFill="1" applyBorder="1" applyAlignment="1">
      <alignment horizontal="center" vertical="center"/>
    </xf>
    <xf numFmtId="0" fontId="51" fillId="35" borderId="70" xfId="0" applyFont="1" applyFill="1" applyBorder="1" applyAlignment="1">
      <alignment horizontal="center" vertical="center"/>
    </xf>
    <xf numFmtId="0" fontId="51" fillId="35" borderId="75" xfId="0" applyFont="1" applyFill="1" applyBorder="1" applyAlignment="1">
      <alignment horizontal="center" vertical="center"/>
    </xf>
    <xf numFmtId="0" fontId="51" fillId="35" borderId="69" xfId="0" applyFont="1" applyFill="1" applyBorder="1" applyAlignment="1">
      <alignment horizontal="center" vertical="center" wrapText="1"/>
    </xf>
    <xf numFmtId="0" fontId="51" fillId="35" borderId="70" xfId="0" applyFont="1" applyFill="1" applyBorder="1" applyAlignment="1">
      <alignment horizontal="center" vertical="center" wrapText="1"/>
    </xf>
    <xf numFmtId="0" fontId="51" fillId="35" borderId="75" xfId="0" applyFont="1" applyFill="1" applyBorder="1" applyAlignment="1">
      <alignment horizontal="center" vertical="center" wrapText="1"/>
    </xf>
    <xf numFmtId="0" fontId="30" fillId="0" borderId="42" xfId="0" applyFont="1" applyBorder="1" applyAlignment="1">
      <alignment horizontal="center" vertical="center"/>
    </xf>
    <xf numFmtId="0" fontId="52" fillId="0" borderId="24" xfId="0" applyFont="1" applyBorder="1" applyAlignment="1">
      <alignment horizontal="center" vertical="center"/>
    </xf>
    <xf numFmtId="0" fontId="30" fillId="0" borderId="22" xfId="0" applyFont="1" applyBorder="1" applyAlignment="1">
      <alignment horizontal="center" vertical="center"/>
    </xf>
    <xf numFmtId="0" fontId="52" fillId="0" borderId="25" xfId="0" applyFont="1" applyBorder="1" applyAlignment="1">
      <alignment horizontal="center" vertical="center"/>
    </xf>
    <xf numFmtId="0" fontId="30" fillId="0" borderId="40" xfId="0" applyFont="1" applyBorder="1" applyAlignment="1">
      <alignment horizontal="center" vertical="center"/>
    </xf>
    <xf numFmtId="0" fontId="30" fillId="0" borderId="22"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8" xfId="0" applyFont="1" applyBorder="1" applyAlignment="1">
      <alignment horizontal="center" vertical="center"/>
    </xf>
    <xf numFmtId="0" fontId="30" fillId="0" borderId="26" xfId="0" applyFont="1" applyBorder="1" applyAlignment="1">
      <alignment horizontal="center" vertical="center"/>
    </xf>
    <xf numFmtId="0" fontId="52" fillId="0" borderId="10" xfId="0" applyFont="1" applyBorder="1" applyAlignment="1">
      <alignment horizontal="center" vertical="center"/>
    </xf>
    <xf numFmtId="0" fontId="52" fillId="0" borderId="27" xfId="0" applyFont="1" applyBorder="1" applyAlignment="1">
      <alignment horizontal="center" vertical="center"/>
    </xf>
    <xf numFmtId="0" fontId="30" fillId="0" borderId="18" xfId="0" applyFont="1" applyBorder="1" applyAlignment="1">
      <alignment horizontal="center" vertical="center"/>
    </xf>
    <xf numFmtId="0" fontId="30" fillId="0" borderId="10"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63" xfId="0" applyFont="1" applyBorder="1" applyAlignment="1">
      <alignment horizontal="center" vertical="center" wrapText="1"/>
    </xf>
    <xf numFmtId="0" fontId="51" fillId="0" borderId="60" xfId="0" applyFont="1" applyBorder="1" applyAlignment="1">
      <alignment horizontal="center" vertical="center" wrapText="1"/>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53" xfId="0" applyFont="1" applyBorder="1" applyAlignment="1">
      <alignment horizontal="center" vertical="center"/>
    </xf>
    <xf numFmtId="0" fontId="34" fillId="0" borderId="64" xfId="0" applyFont="1" applyBorder="1" applyAlignment="1">
      <alignment horizontal="center" vertical="center" wrapText="1"/>
    </xf>
    <xf numFmtId="0" fontId="52" fillId="0" borderId="22" xfId="0" applyFont="1" applyBorder="1" applyAlignment="1">
      <alignment horizontal="center" vertical="center"/>
    </xf>
    <xf numFmtId="0" fontId="30" fillId="0" borderId="25" xfId="0" applyFont="1" applyBorder="1" applyAlignment="1">
      <alignment horizontal="center" vertical="center"/>
    </xf>
    <xf numFmtId="0" fontId="30" fillId="0" borderId="24" xfId="0" applyFont="1" applyBorder="1" applyAlignment="1">
      <alignment horizontal="center" vertical="center"/>
    </xf>
    <xf numFmtId="0" fontId="52" fillId="0" borderId="26" xfId="0" applyFont="1" applyBorder="1" applyAlignment="1">
      <alignment horizontal="center" vertical="center"/>
    </xf>
    <xf numFmtId="0" fontId="30" fillId="0" borderId="10" xfId="0" applyFont="1" applyBorder="1" applyAlignment="1">
      <alignment horizontal="center" vertical="center"/>
    </xf>
    <xf numFmtId="0" fontId="34" fillId="0" borderId="30" xfId="0" applyFont="1" applyBorder="1" applyAlignment="1">
      <alignment horizontal="center" vertical="center" wrapText="1"/>
    </xf>
    <xf numFmtId="0" fontId="34" fillId="0" borderId="31" xfId="0" applyFont="1" applyBorder="1" applyAlignment="1">
      <alignment horizontal="center" vertical="center" wrapText="1"/>
    </xf>
    <xf numFmtId="0" fontId="30" fillId="0" borderId="71" xfId="0" applyFont="1" applyBorder="1" applyAlignment="1">
      <alignment horizontal="center" vertical="center"/>
    </xf>
    <xf numFmtId="0" fontId="30" fillId="0" borderId="38" xfId="0" applyFont="1" applyBorder="1" applyAlignment="1">
      <alignment horizontal="center" vertical="center" wrapText="1"/>
    </xf>
    <xf numFmtId="0" fontId="30" fillId="0" borderId="71" xfId="0" applyFont="1" applyBorder="1" applyAlignment="1">
      <alignment horizontal="center" vertical="center" wrapText="1"/>
    </xf>
    <xf numFmtId="0" fontId="30" fillId="0" borderId="59" xfId="0" applyFont="1" applyBorder="1" applyAlignment="1">
      <alignment horizontal="center" vertical="center"/>
    </xf>
    <xf numFmtId="0" fontId="30" fillId="0" borderId="17" xfId="0" applyFont="1" applyBorder="1" applyAlignment="1">
      <alignment horizontal="center" vertical="center" wrapText="1"/>
    </xf>
    <xf numFmtId="0" fontId="30" fillId="0" borderId="59" xfId="0" applyFont="1" applyBorder="1" applyAlignment="1">
      <alignment horizontal="center" vertical="center" wrapText="1"/>
    </xf>
    <xf numFmtId="0" fontId="51" fillId="0" borderId="61"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61" xfId="0" applyFont="1" applyBorder="1" applyAlignment="1">
      <alignment horizontal="center" vertical="center" wrapText="1"/>
    </xf>
    <xf numFmtId="0" fontId="0" fillId="0" borderId="52" xfId="0" applyBorder="1" applyAlignment="1">
      <alignment horizontal="center" vertical="center"/>
    </xf>
    <xf numFmtId="0" fontId="51" fillId="34" borderId="10" xfId="0" applyFont="1" applyFill="1" applyBorder="1"/>
    <xf numFmtId="0" fontId="51" fillId="34" borderId="10" xfId="0" applyFont="1" applyFill="1" applyBorder="1" applyAlignment="1">
      <alignment horizontal="center"/>
    </xf>
    <xf numFmtId="0" fontId="53" fillId="0" borderId="0" xfId="0" applyFont="1"/>
    <xf numFmtId="0" fontId="30" fillId="0" borderId="10" xfId="0" applyFont="1" applyBorder="1"/>
    <xf numFmtId="170" fontId="53" fillId="0" borderId="10" xfId="42" applyNumberFormat="1" applyFont="1" applyBorder="1"/>
    <xf numFmtId="0" fontId="53" fillId="0" borderId="10" xfId="0" applyFont="1" applyBorder="1" applyAlignment="1">
      <alignment horizontal="center"/>
    </xf>
    <xf numFmtId="0" fontId="53" fillId="0" borderId="10" xfId="0" applyFont="1" applyFill="1" applyBorder="1"/>
    <xf numFmtId="0" fontId="53" fillId="0" borderId="10" xfId="0" applyFont="1" applyBorder="1"/>
    <xf numFmtId="0" fontId="53" fillId="0" borderId="15" xfId="0" applyFont="1" applyFill="1" applyBorder="1"/>
    <xf numFmtId="168" fontId="53" fillId="0" borderId="15" xfId="0" applyNumberFormat="1" applyFont="1" applyBorder="1" applyAlignment="1">
      <alignment horizontal="center"/>
    </xf>
    <xf numFmtId="0" fontId="53" fillId="0" borderId="15" xfId="0" applyFont="1" applyFill="1" applyBorder="1" applyAlignment="1">
      <alignment horizontal="center"/>
    </xf>
    <xf numFmtId="0" fontId="38" fillId="0" borderId="0" xfId="0" applyFont="1"/>
    <xf numFmtId="0" fontId="53" fillId="0" borderId="10" xfId="0" applyFont="1" applyFill="1" applyBorder="1" applyAlignment="1">
      <alignment horizontal="center"/>
    </xf>
    <xf numFmtId="0" fontId="40" fillId="34" borderId="10" xfId="0" applyFont="1" applyFill="1" applyBorder="1" applyAlignment="1">
      <alignment horizontal="center"/>
    </xf>
    <xf numFmtId="0" fontId="53" fillId="0" borderId="0" xfId="0" applyFont="1" applyAlignment="1">
      <alignment horizontal="center"/>
    </xf>
    <xf numFmtId="0" fontId="44" fillId="0" borderId="0" xfId="0" applyFont="1"/>
    <xf numFmtId="0" fontId="30" fillId="0" borderId="0" xfId="0" applyFont="1"/>
    <xf numFmtId="0" fontId="30" fillId="0" borderId="0" xfId="0" applyFont="1" applyAlignment="1">
      <alignment horizontal="center"/>
    </xf>
    <xf numFmtId="2" fontId="53" fillId="0" borderId="10" xfId="0" applyNumberFormat="1" applyFont="1" applyBorder="1"/>
    <xf numFmtId="170" fontId="30" fillId="0" borderId="10" xfId="42" applyNumberFormat="1" applyFont="1" applyBorder="1"/>
    <xf numFmtId="0" fontId="30" fillId="0" borderId="10" xfId="0" applyFont="1" applyBorder="1" applyAlignment="1">
      <alignment horizontal="center"/>
    </xf>
    <xf numFmtId="0" fontId="30" fillId="0" borderId="17" xfId="0" applyFont="1" applyBorder="1"/>
    <xf numFmtId="0" fontId="30" fillId="0" borderId="19" xfId="0" applyFont="1" applyBorder="1"/>
    <xf numFmtId="0" fontId="30" fillId="0" borderId="18" xfId="0" applyFont="1" applyBorder="1"/>
    <xf numFmtId="0" fontId="30" fillId="0" borderId="10" xfId="0" quotePrefix="1" applyFont="1" applyBorder="1" applyAlignment="1">
      <alignment horizontal="center"/>
    </xf>
    <xf numFmtId="43" fontId="30" fillId="0" borderId="10" xfId="0" applyNumberFormat="1" applyFont="1" applyBorder="1"/>
    <xf numFmtId="167" fontId="30" fillId="0" borderId="10" xfId="0" applyNumberFormat="1" applyFont="1" applyBorder="1"/>
    <xf numFmtId="170" fontId="30" fillId="0" borderId="10" xfId="0" applyNumberFormat="1" applyFont="1" applyBorder="1"/>
    <xf numFmtId="168" fontId="30" fillId="0" borderId="10" xfId="0" applyNumberFormat="1" applyFont="1" applyBorder="1"/>
    <xf numFmtId="173" fontId="30" fillId="0" borderId="10" xfId="42" applyNumberFormat="1" applyFont="1" applyBorder="1"/>
    <xf numFmtId="173" fontId="53" fillId="0" borderId="0" xfId="42" applyNumberFormat="1" applyFont="1"/>
    <xf numFmtId="173" fontId="30" fillId="33" borderId="10" xfId="42" applyNumberFormat="1" applyFont="1" applyFill="1" applyBorder="1"/>
    <xf numFmtId="0" fontId="19" fillId="0" borderId="44" xfId="0" applyFont="1" applyBorder="1" applyAlignment="1">
      <alignment vertical="center"/>
    </xf>
    <xf numFmtId="2" fontId="19" fillId="0" borderId="43" xfId="0" applyNumberFormat="1" applyFont="1" applyBorder="1" applyAlignment="1">
      <alignment horizontal="center" vertical="center"/>
    </xf>
    <xf numFmtId="168" fontId="19" fillId="0" borderId="47" xfId="0" applyNumberFormat="1" applyFont="1" applyBorder="1" applyAlignment="1">
      <alignment horizontal="center" vertical="center"/>
    </xf>
    <xf numFmtId="2" fontId="19" fillId="0" borderId="34" xfId="0" applyNumberFormat="1" applyFont="1" applyBorder="1" applyAlignment="1">
      <alignment vertical="center"/>
    </xf>
    <xf numFmtId="170" fontId="25" fillId="0" borderId="43" xfId="42" applyNumberFormat="1" applyFont="1" applyBorder="1" applyAlignment="1">
      <alignment horizontal="center" vertical="center"/>
    </xf>
    <xf numFmtId="0" fontId="19" fillId="0" borderId="44" xfId="0" applyFont="1" applyBorder="1" applyAlignment="1">
      <alignment wrapText="1"/>
    </xf>
    <xf numFmtId="0" fontId="31" fillId="0" borderId="23" xfId="0" applyFont="1" applyBorder="1" applyAlignment="1">
      <alignment horizontal="left" vertical="center"/>
    </xf>
    <xf numFmtId="168" fontId="0" fillId="0" borderId="16" xfId="0" applyNumberFormat="1" applyBorder="1" applyAlignment="1">
      <alignment horizontal="center"/>
    </xf>
    <xf numFmtId="0" fontId="19" fillId="0" borderId="52" xfId="0" applyFont="1" applyBorder="1" applyAlignment="1">
      <alignment horizontal="center" vertical="center"/>
    </xf>
    <xf numFmtId="43" fontId="19" fillId="0" borderId="43" xfId="42" applyNumberFormat="1" applyFont="1" applyBorder="1" applyAlignment="1">
      <alignment horizontal="center" vertical="center"/>
    </xf>
    <xf numFmtId="43" fontId="19" fillId="0" borderId="76" xfId="42" applyFont="1" applyBorder="1" applyAlignment="1">
      <alignment horizontal="center" vertical="center"/>
    </xf>
    <xf numFmtId="0" fontId="19" fillId="0" borderId="44" xfId="0" applyFont="1" applyBorder="1" applyAlignment="1">
      <alignment horizontal="right"/>
    </xf>
    <xf numFmtId="2" fontId="19" fillId="0" borderId="47" xfId="0" applyNumberFormat="1" applyFont="1" applyBorder="1"/>
    <xf numFmtId="0" fontId="23" fillId="35" borderId="16" xfId="0" applyFont="1" applyFill="1" applyBorder="1" applyAlignment="1">
      <alignment horizontal="center" vertical="center"/>
    </xf>
    <xf numFmtId="2" fontId="31" fillId="0" borderId="22" xfId="0" applyNumberFormat="1" applyFont="1" applyBorder="1" applyAlignment="1">
      <alignment horizontal="center" vertical="center" wrapText="1"/>
    </xf>
    <xf numFmtId="0" fontId="0" fillId="0" borderId="34" xfId="0" applyBorder="1"/>
    <xf numFmtId="2" fontId="19" fillId="0" borderId="34" xfId="0" applyNumberFormat="1" applyFont="1" applyBorder="1" applyAlignment="1">
      <alignment horizontal="center" vertical="center"/>
    </xf>
    <xf numFmtId="168" fontId="19" fillId="0" borderId="35" xfId="0" applyNumberFormat="1" applyFont="1" applyBorder="1" applyAlignment="1">
      <alignment horizontal="center" vertical="center"/>
    </xf>
    <xf numFmtId="2" fontId="19" fillId="0" borderId="36" xfId="0" applyNumberFormat="1" applyFont="1" applyBorder="1" applyAlignment="1">
      <alignment horizontal="center"/>
    </xf>
    <xf numFmtId="0" fontId="19" fillId="34" borderId="13" xfId="0" applyFont="1" applyFill="1" applyBorder="1" applyAlignment="1">
      <alignment horizontal="center" vertical="top" wrapText="1"/>
    </xf>
    <xf numFmtId="0" fontId="19" fillId="34" borderId="49" xfId="0" applyFont="1" applyFill="1" applyBorder="1" applyAlignment="1">
      <alignment horizontal="center" vertical="top" wrapText="1"/>
    </xf>
    <xf numFmtId="0" fontId="19" fillId="34" borderId="29" xfId="0" applyFont="1" applyFill="1" applyBorder="1" applyAlignment="1">
      <alignment horizontal="center" vertical="top" wrapText="1"/>
    </xf>
    <xf numFmtId="0" fontId="19" fillId="34" borderId="31" xfId="0" applyFont="1" applyFill="1" applyBorder="1" applyAlignment="1">
      <alignment horizontal="center" vertical="top" wrapText="1"/>
    </xf>
    <xf numFmtId="0" fontId="0" fillId="0" borderId="34" xfId="0" applyBorder="1" applyAlignment="1">
      <alignment horizontal="center" vertical="center"/>
    </xf>
    <xf numFmtId="43" fontId="25" fillId="0" borderId="35" xfId="0" applyNumberFormat="1" applyFont="1" applyBorder="1" applyAlignment="1">
      <alignment horizontal="center" vertical="center"/>
    </xf>
    <xf numFmtId="164" fontId="19" fillId="0" borderId="36" xfId="0" applyNumberFormat="1" applyFont="1" applyBorder="1" applyAlignment="1">
      <alignment horizontal="center" vertical="center"/>
    </xf>
    <xf numFmtId="0" fontId="33" fillId="0" borderId="34" xfId="0" applyFont="1" applyBorder="1" applyAlignment="1">
      <alignment horizontal="left" vertical="center"/>
    </xf>
    <xf numFmtId="0" fontId="0" fillId="0" borderId="18" xfId="0" applyBorder="1" applyAlignment="1">
      <alignment horizontal="left"/>
    </xf>
    <xf numFmtId="0" fontId="32" fillId="34" borderId="10" xfId="0" applyFont="1" applyFill="1" applyBorder="1" applyAlignment="1">
      <alignment vertical="top"/>
    </xf>
    <xf numFmtId="0" fontId="32" fillId="34" borderId="10" xfId="0" applyFont="1" applyFill="1" applyBorder="1" applyAlignment="1">
      <alignment horizontal="center"/>
    </xf>
    <xf numFmtId="0" fontId="32" fillId="34" borderId="10" xfId="0" applyFont="1" applyFill="1" applyBorder="1"/>
    <xf numFmtId="0" fontId="29" fillId="0" borderId="17" xfId="0" applyFont="1" applyBorder="1" applyAlignment="1">
      <alignment horizontal="left"/>
    </xf>
    <xf numFmtId="0" fontId="29" fillId="0" borderId="10" xfId="0" applyFont="1" applyBorder="1" applyAlignment="1">
      <alignment horizontal="left"/>
    </xf>
    <xf numFmtId="0" fontId="29" fillId="0" borderId="10" xfId="0" applyFont="1" applyBorder="1" applyAlignment="1">
      <alignment horizontal="right" wrapText="1"/>
    </xf>
    <xf numFmtId="0" fontId="29" fillId="0" borderId="10" xfId="0" applyFont="1" applyBorder="1" applyAlignment="1">
      <alignment horizontal="right"/>
    </xf>
    <xf numFmtId="0" fontId="29" fillId="0" borderId="10" xfId="0" applyFont="1" applyBorder="1" applyAlignment="1">
      <alignment wrapText="1"/>
    </xf>
    <xf numFmtId="169" fontId="0" fillId="0" borderId="10" xfId="42" applyNumberFormat="1" applyFont="1" applyBorder="1"/>
    <xf numFmtId="0" fontId="32" fillId="0" borderId="10" xfId="0" applyFont="1" applyBorder="1"/>
    <xf numFmtId="165" fontId="0" fillId="0" borderId="10" xfId="0" applyNumberFormat="1" applyBorder="1" applyAlignment="1">
      <alignment horizontal="center" vertical="center"/>
    </xf>
    <xf numFmtId="169" fontId="0" fillId="0" borderId="10" xfId="42" applyNumberFormat="1" applyFont="1" applyBorder="1" applyAlignment="1">
      <alignment horizontal="center" vertical="center"/>
    </xf>
    <xf numFmtId="164" fontId="0" fillId="0" borderId="10" xfId="0" applyNumberFormat="1" applyBorder="1" applyAlignment="1">
      <alignment horizontal="center" vertical="center"/>
    </xf>
    <xf numFmtId="164" fontId="0" fillId="0" borderId="10" xfId="0" applyNumberFormat="1" applyBorder="1" applyAlignment="1">
      <alignment vertical="center"/>
    </xf>
    <xf numFmtId="164" fontId="35" fillId="33" borderId="10" xfId="0" applyNumberFormat="1" applyFont="1" applyFill="1" applyBorder="1" applyAlignment="1">
      <alignment horizontal="center"/>
    </xf>
    <xf numFmtId="164" fontId="35" fillId="0" borderId="10" xfId="0" applyNumberFormat="1" applyFont="1" applyFill="1" applyBorder="1" applyAlignment="1">
      <alignment horizontal="center"/>
    </xf>
    <xf numFmtId="164" fontId="35" fillId="0" borderId="10" xfId="0" applyNumberFormat="1" applyFont="1" applyBorder="1" applyAlignment="1">
      <alignment horizontal="center"/>
    </xf>
    <xf numFmtId="164" fontId="39" fillId="0" borderId="10" xfId="0" applyNumberFormat="1" applyFont="1" applyBorder="1" applyAlignment="1">
      <alignment horizontal="center"/>
    </xf>
    <xf numFmtId="164" fontId="35" fillId="0" borderId="10" xfId="0" applyNumberFormat="1" applyFont="1" applyBorder="1" applyAlignment="1">
      <alignment horizontal="center" vertical="center"/>
    </xf>
    <xf numFmtId="0" fontId="35" fillId="33" borderId="10" xfId="0" applyFont="1" applyFill="1" applyBorder="1" applyAlignment="1">
      <alignment horizontal="center"/>
    </xf>
    <xf numFmtId="39" fontId="25" fillId="0" borderId="10" xfId="0" applyNumberFormat="1" applyFont="1" applyFill="1" applyBorder="1" applyAlignment="1">
      <alignment horizontal="center"/>
    </xf>
    <xf numFmtId="39" fontId="25" fillId="0" borderId="10" xfId="42" applyNumberFormat="1" applyFont="1" applyFill="1" applyBorder="1" applyAlignment="1">
      <alignment horizontal="center"/>
    </xf>
    <xf numFmtId="168" fontId="25" fillId="0" borderId="10" xfId="0" applyNumberFormat="1" applyFont="1" applyBorder="1" applyAlignment="1">
      <alignment horizontal="center"/>
    </xf>
    <xf numFmtId="166" fontId="53" fillId="0" borderId="17" xfId="42" applyNumberFormat="1" applyFont="1" applyBorder="1"/>
    <xf numFmtId="0" fontId="53" fillId="0" borderId="17" xfId="0" applyFont="1" applyBorder="1"/>
    <xf numFmtId="0" fontId="51" fillId="34" borderId="17" xfId="0" applyFont="1" applyFill="1" applyBorder="1"/>
    <xf numFmtId="0" fontId="28" fillId="0" borderId="17" xfId="0" applyFont="1" applyBorder="1"/>
    <xf numFmtId="9" fontId="53" fillId="0" borderId="10" xfId="43" applyFont="1" applyBorder="1"/>
    <xf numFmtId="39" fontId="53" fillId="0" borderId="17" xfId="0" applyNumberFormat="1" applyFont="1" applyBorder="1"/>
    <xf numFmtId="164" fontId="19" fillId="0" borderId="10" xfId="0" applyNumberFormat="1" applyFont="1" applyBorder="1"/>
    <xf numFmtId="169" fontId="19" fillId="0" borderId="10" xfId="42" applyNumberFormat="1" applyFont="1" applyBorder="1"/>
    <xf numFmtId="0" fontId="32" fillId="0" borderId="16" xfId="0" applyFont="1" applyBorder="1"/>
    <xf numFmtId="0" fontId="29" fillId="0" borderId="16" xfId="0" applyFont="1" applyFill="1" applyBorder="1" applyAlignment="1">
      <alignment horizontal="left" wrapText="1"/>
    </xf>
    <xf numFmtId="0" fontId="37" fillId="0" borderId="10" xfId="0" applyFont="1" applyBorder="1"/>
    <xf numFmtId="164" fontId="19" fillId="0" borderId="10" xfId="0" applyNumberFormat="1" applyFont="1" applyBorder="1" applyAlignment="1">
      <alignment horizontal="center" vertical="center"/>
    </xf>
    <xf numFmtId="0" fontId="30" fillId="0" borderId="10" xfId="0" applyFont="1" applyFill="1" applyBorder="1" applyAlignment="1">
      <alignment horizontal="center"/>
    </xf>
    <xf numFmtId="0" fontId="30" fillId="0" borderId="17" xfId="0" applyFont="1" applyFill="1" applyBorder="1"/>
    <xf numFmtId="164" fontId="51" fillId="0" borderId="10" xfId="0" applyNumberFormat="1" applyFont="1" applyFill="1" applyBorder="1"/>
    <xf numFmtId="170" fontId="53" fillId="0" borderId="17" xfId="42" applyNumberFormat="1" applyFont="1" applyFill="1" applyBorder="1"/>
    <xf numFmtId="168" fontId="35" fillId="0" borderId="0" xfId="0" applyNumberFormat="1" applyFont="1"/>
    <xf numFmtId="2" fontId="0" fillId="0" borderId="10" xfId="0" applyNumberFormat="1" applyBorder="1" applyAlignment="1">
      <alignment horizontal="center" vertical="center"/>
    </xf>
    <xf numFmtId="0" fontId="32" fillId="34" borderId="10" xfId="0" applyFont="1" applyFill="1" applyBorder="1" applyAlignment="1">
      <alignment wrapText="1"/>
    </xf>
    <xf numFmtId="164" fontId="0" fillId="0" borderId="18" xfId="0" applyNumberFormat="1" applyBorder="1" applyAlignment="1">
      <alignment horizontal="right" vertical="center"/>
    </xf>
    <xf numFmtId="164" fontId="0" fillId="33" borderId="10" xfId="0" applyNumberFormat="1" applyFill="1" applyBorder="1" applyAlignment="1">
      <alignment horizontal="right" vertical="center"/>
    </xf>
    <xf numFmtId="164" fontId="0" fillId="0" borderId="10" xfId="0" applyNumberFormat="1" applyBorder="1" applyAlignment="1">
      <alignment horizontal="right" vertical="center"/>
    </xf>
    <xf numFmtId="0" fontId="0" fillId="0" borderId="10" xfId="0" applyBorder="1" applyAlignment="1">
      <alignment horizontal="right" vertical="center"/>
    </xf>
    <xf numFmtId="2" fontId="25" fillId="33" borderId="10" xfId="0" applyNumberFormat="1" applyFont="1" applyFill="1" applyBorder="1" applyAlignment="1">
      <alignment horizontal="center"/>
    </xf>
    <xf numFmtId="164" fontId="19" fillId="33" borderId="10" xfId="0" applyNumberFormat="1" applyFont="1" applyFill="1" applyBorder="1"/>
    <xf numFmtId="9" fontId="31" fillId="0" borderId="10" xfId="43" applyFont="1" applyBorder="1" applyAlignment="1">
      <alignment horizontal="center" vertical="center" wrapText="1"/>
    </xf>
    <xf numFmtId="9" fontId="31" fillId="0" borderId="16" xfId="43" applyFont="1" applyBorder="1" applyAlignment="1">
      <alignment horizontal="center" vertical="center" wrapText="1"/>
    </xf>
    <xf numFmtId="164" fontId="0" fillId="33" borderId="10" xfId="0" applyNumberFormat="1" applyFill="1" applyBorder="1"/>
    <xf numFmtId="9" fontId="31" fillId="0" borderId="22" xfId="43" applyFont="1" applyBorder="1" applyAlignment="1">
      <alignment horizontal="center" vertical="center" wrapText="1"/>
    </xf>
    <xf numFmtId="0" fontId="19" fillId="0" borderId="45" xfId="0" applyFont="1" applyBorder="1"/>
    <xf numFmtId="2" fontId="0" fillId="0" borderId="41" xfId="0" applyNumberFormat="1" applyBorder="1" applyAlignment="1">
      <alignment horizontal="center"/>
    </xf>
    <xf numFmtId="9" fontId="0" fillId="0" borderId="41" xfId="43" applyFont="1" applyBorder="1" applyAlignment="1">
      <alignment horizontal="center"/>
    </xf>
    <xf numFmtId="0" fontId="31" fillId="0" borderId="22" xfId="0" applyFont="1" applyBorder="1" applyAlignment="1">
      <alignment horizontal="center" vertical="center" wrapText="1"/>
    </xf>
    <xf numFmtId="168" fontId="31" fillId="0" borderId="22" xfId="0" applyNumberFormat="1" applyFont="1" applyBorder="1" applyAlignment="1">
      <alignment horizontal="center" vertical="center" wrapText="1"/>
    </xf>
    <xf numFmtId="167" fontId="0" fillId="0" borderId="22" xfId="42" applyNumberFormat="1" applyFont="1" applyBorder="1"/>
    <xf numFmtId="170" fontId="0" fillId="0" borderId="25" xfId="42" applyNumberFormat="1" applyFont="1" applyBorder="1"/>
    <xf numFmtId="170" fontId="0" fillId="0" borderId="27" xfId="42" applyNumberFormat="1" applyFont="1" applyBorder="1"/>
    <xf numFmtId="0" fontId="33" fillId="0" borderId="45" xfId="0" applyFont="1" applyFill="1" applyBorder="1" applyAlignment="1">
      <alignment horizontal="left" vertical="center"/>
    </xf>
    <xf numFmtId="168" fontId="0" fillId="0" borderId="41" xfId="0" applyNumberFormat="1" applyBorder="1" applyAlignment="1">
      <alignment horizontal="center"/>
    </xf>
    <xf numFmtId="170" fontId="0" fillId="0" borderId="35" xfId="42" applyNumberFormat="1" applyFont="1" applyBorder="1"/>
    <xf numFmtId="170" fontId="0" fillId="0" borderId="36" xfId="42" applyNumberFormat="1" applyFont="1" applyBorder="1"/>
    <xf numFmtId="39" fontId="0" fillId="0" borderId="41" xfId="42" applyNumberFormat="1" applyFont="1" applyBorder="1" applyAlignment="1">
      <alignment horizontal="center"/>
    </xf>
    <xf numFmtId="170" fontId="0" fillId="0" borderId="41" xfId="42" applyNumberFormat="1" applyFont="1" applyBorder="1"/>
    <xf numFmtId="170" fontId="0" fillId="0" borderId="46" xfId="42" applyNumberFormat="1" applyFont="1" applyBorder="1"/>
    <xf numFmtId="9" fontId="33" fillId="0" borderId="35" xfId="43" applyFont="1" applyBorder="1" applyAlignment="1">
      <alignment horizontal="center" vertical="center" wrapText="1"/>
    </xf>
    <xf numFmtId="165" fontId="35" fillId="33" borderId="10" xfId="0" applyNumberFormat="1" applyFont="1" applyFill="1" applyBorder="1" applyAlignment="1">
      <alignment horizontal="center"/>
    </xf>
    <xf numFmtId="169" fontId="35" fillId="0" borderId="10" xfId="0" applyNumberFormat="1" applyFont="1" applyBorder="1" applyAlignment="1">
      <alignment horizontal="center"/>
    </xf>
    <xf numFmtId="0" fontId="0" fillId="0" borderId="18" xfId="0" applyBorder="1"/>
    <xf numFmtId="168" fontId="33" fillId="0" borderId="35" xfId="0" applyNumberFormat="1" applyFont="1" applyBorder="1" applyAlignment="1">
      <alignment horizontal="center" vertical="center" wrapText="1"/>
    </xf>
    <xf numFmtId="0" fontId="23" fillId="35" borderId="10" xfId="0" applyFont="1" applyFill="1" applyBorder="1" applyAlignment="1">
      <alignment horizontal="center" vertical="center"/>
    </xf>
    <xf numFmtId="9" fontId="31" fillId="0" borderId="10" xfId="43" applyFont="1" applyBorder="1" applyAlignment="1">
      <alignment horizontal="center" vertical="center"/>
    </xf>
    <xf numFmtId="164" fontId="0" fillId="0" borderId="10" xfId="0" applyNumberFormat="1" applyBorder="1" applyAlignment="1">
      <alignment horizontal="center" vertical="center"/>
    </xf>
    <xf numFmtId="0" fontId="0" fillId="0" borderId="10" xfId="0" applyBorder="1" applyAlignment="1">
      <alignment horizontal="left" wrapText="1"/>
    </xf>
    <xf numFmtId="0" fontId="23" fillId="35" borderId="16" xfId="0" applyFont="1" applyFill="1" applyBorder="1" applyAlignment="1">
      <alignment horizontal="center" vertical="center" wrapText="1"/>
    </xf>
    <xf numFmtId="170" fontId="0" fillId="0" borderId="22" xfId="42" applyNumberFormat="1" applyFont="1" applyBorder="1"/>
    <xf numFmtId="0" fontId="29" fillId="0" borderId="16" xfId="0" applyFont="1" applyBorder="1" applyAlignment="1">
      <alignment horizontal="right" vertical="center" wrapText="1"/>
    </xf>
    <xf numFmtId="0" fontId="0" fillId="0" borderId="28" xfId="0" applyBorder="1" applyAlignment="1">
      <alignment horizontal="center" vertical="center"/>
    </xf>
    <xf numFmtId="167" fontId="0" fillId="0" borderId="28" xfId="0" applyNumberFormat="1" applyBorder="1" applyAlignment="1">
      <alignment horizontal="left"/>
    </xf>
    <xf numFmtId="170" fontId="0" fillId="0" borderId="27" xfId="42" applyNumberFormat="1" applyFont="1" applyBorder="1" applyAlignment="1">
      <alignment wrapText="1"/>
    </xf>
    <xf numFmtId="0" fontId="0" fillId="0" borderId="25" xfId="0" applyBorder="1" applyAlignment="1">
      <alignment horizontal="left" wrapText="1"/>
    </xf>
    <xf numFmtId="171" fontId="0" fillId="0" borderId="10" xfId="0" applyNumberFormat="1" applyBorder="1" applyAlignment="1">
      <alignment horizontal="center" vertical="center"/>
    </xf>
    <xf numFmtId="2" fontId="0" fillId="42" borderId="10" xfId="0" applyNumberFormat="1" applyFill="1" applyBorder="1" applyAlignment="1">
      <alignment vertical="center"/>
    </xf>
    <xf numFmtId="2" fontId="0" fillId="43" borderId="10" xfId="0" applyNumberFormat="1" applyFill="1" applyBorder="1" applyAlignment="1">
      <alignment vertical="center"/>
    </xf>
    <xf numFmtId="2" fontId="56" fillId="43" borderId="10" xfId="0" applyNumberFormat="1" applyFont="1" applyFill="1" applyBorder="1" applyAlignment="1">
      <alignment vertical="center"/>
    </xf>
    <xf numFmtId="2" fontId="56" fillId="42" borderId="10" xfId="0" applyNumberFormat="1" applyFont="1" applyFill="1" applyBorder="1" applyAlignment="1">
      <alignment vertical="center"/>
    </xf>
    <xf numFmtId="2" fontId="31" fillId="0" borderId="10" xfId="0" applyNumberFormat="1" applyFont="1" applyBorder="1" applyAlignment="1">
      <alignment horizontal="center" vertical="center"/>
    </xf>
    <xf numFmtId="0" fontId="33" fillId="0" borderId="10" xfId="0" applyFont="1" applyBorder="1" applyAlignment="1">
      <alignment horizontal="left" vertical="center"/>
    </xf>
    <xf numFmtId="0" fontId="33" fillId="0" borderId="10" xfId="0" applyFont="1" applyBorder="1" applyAlignment="1">
      <alignment horizontal="center" vertical="center"/>
    </xf>
    <xf numFmtId="9" fontId="33" fillId="0" borderId="10" xfId="43" applyFont="1" applyBorder="1" applyAlignment="1">
      <alignment horizontal="center" vertical="center"/>
    </xf>
    <xf numFmtId="39" fontId="31" fillId="0" borderId="10" xfId="42" applyNumberFormat="1" applyFont="1" applyBorder="1" applyAlignment="1">
      <alignment horizontal="center" vertical="center"/>
    </xf>
    <xf numFmtId="164" fontId="15" fillId="0" borderId="10" xfId="0" applyNumberFormat="1" applyFont="1" applyBorder="1"/>
    <xf numFmtId="49" fontId="31" fillId="0" borderId="10" xfId="0" applyNumberFormat="1" applyFont="1" applyBorder="1" applyAlignment="1">
      <alignment horizontal="center" vertical="center"/>
    </xf>
    <xf numFmtId="0" fontId="31" fillId="0" borderId="16" xfId="0" applyFont="1" applyFill="1" applyBorder="1" applyAlignment="1">
      <alignment horizontal="left" vertical="center"/>
    </xf>
    <xf numFmtId="0" fontId="31" fillId="0" borderId="16" xfId="0" applyFont="1" applyFill="1" applyBorder="1" applyAlignment="1">
      <alignment horizontal="right" vertical="center"/>
    </xf>
    <xf numFmtId="0" fontId="31" fillId="0" borderId="15" xfId="0" applyFont="1" applyFill="1" applyBorder="1" applyAlignment="1">
      <alignment horizontal="right" vertical="center"/>
    </xf>
    <xf numFmtId="0" fontId="0" fillId="34" borderId="10" xfId="0" applyFill="1" applyBorder="1" applyAlignment="1">
      <alignment vertical="top"/>
    </xf>
    <xf numFmtId="0" fontId="0" fillId="34" borderId="10" xfId="0" applyFill="1" applyBorder="1" applyAlignment="1">
      <alignment vertical="top" wrapText="1"/>
    </xf>
    <xf numFmtId="172" fontId="31" fillId="0" borderId="41" xfId="43" applyNumberFormat="1" applyFont="1" applyBorder="1" applyAlignment="1">
      <alignment horizontal="center" vertical="center" wrapText="1"/>
    </xf>
    <xf numFmtId="2" fontId="0" fillId="33" borderId="10" xfId="0" applyNumberFormat="1" applyFill="1" applyBorder="1" applyAlignment="1">
      <alignment horizontal="center" vertical="center"/>
    </xf>
    <xf numFmtId="172" fontId="0" fillId="33" borderId="10" xfId="43" applyNumberFormat="1" applyFont="1" applyFill="1" applyBorder="1" applyAlignment="1">
      <alignment horizontal="center" vertical="center"/>
    </xf>
    <xf numFmtId="164" fontId="0" fillId="33" borderId="10" xfId="0" applyNumberFormat="1" applyFill="1" applyBorder="1" applyAlignment="1">
      <alignment horizontal="center" vertical="center"/>
    </xf>
    <xf numFmtId="172" fontId="0" fillId="33" borderId="0" xfId="43" applyNumberFormat="1" applyFont="1" applyFill="1"/>
    <xf numFmtId="0" fontId="57" fillId="0" borderId="0" xfId="91"/>
    <xf numFmtId="0" fontId="57" fillId="0" borderId="0" xfId="91" applyAlignment="1">
      <alignment horizontal="center"/>
    </xf>
    <xf numFmtId="0" fontId="29" fillId="0" borderId="0" xfId="91" applyFont="1"/>
    <xf numFmtId="0" fontId="29" fillId="0" borderId="10" xfId="91" applyFont="1" applyBorder="1" applyAlignment="1">
      <alignment horizontal="center"/>
    </xf>
    <xf numFmtId="0" fontId="29" fillId="0" borderId="16" xfId="91" applyFont="1" applyBorder="1" applyAlignment="1">
      <alignment horizontal="center"/>
    </xf>
    <xf numFmtId="0" fontId="57" fillId="0" borderId="16" xfId="91" applyBorder="1"/>
    <xf numFmtId="0" fontId="32" fillId="0" borderId="10" xfId="91" applyFont="1" applyBorder="1"/>
    <xf numFmtId="0" fontId="57" fillId="0" borderId="10" xfId="91" applyBorder="1" applyAlignment="1">
      <alignment horizontal="center"/>
    </xf>
    <xf numFmtId="0" fontId="57" fillId="0" borderId="10" xfId="91" applyBorder="1"/>
    <xf numFmtId="164" fontId="57" fillId="0" borderId="15" xfId="91" applyNumberFormat="1" applyBorder="1" applyAlignment="1">
      <alignment horizontal="center"/>
    </xf>
    <xf numFmtId="164" fontId="57" fillId="33" borderId="10" xfId="91" applyNumberFormat="1" applyFill="1" applyBorder="1"/>
    <xf numFmtId="2" fontId="57" fillId="0" borderId="10" xfId="91" applyNumberFormat="1" applyBorder="1"/>
    <xf numFmtId="169" fontId="0" fillId="0" borderId="10" xfId="92" applyNumberFormat="1" applyFont="1" applyBorder="1" applyAlignment="1">
      <alignment horizontal="center"/>
    </xf>
    <xf numFmtId="0" fontId="29" fillId="0" borderId="10" xfId="91" applyFont="1" applyBorder="1" applyAlignment="1">
      <alignment horizontal="right"/>
    </xf>
    <xf numFmtId="168" fontId="57" fillId="0" borderId="10" xfId="91" applyNumberFormat="1" applyBorder="1" applyAlignment="1">
      <alignment horizontal="center"/>
    </xf>
    <xf numFmtId="0" fontId="58" fillId="0" borderId="17" xfId="0" applyFont="1" applyBorder="1"/>
    <xf numFmtId="0" fontId="58" fillId="0" borderId="10" xfId="0" applyFont="1" applyBorder="1"/>
    <xf numFmtId="175" fontId="35" fillId="0" borderId="10" xfId="0" applyNumberFormat="1" applyFont="1" applyBorder="1" applyAlignment="1">
      <alignment horizontal="left"/>
    </xf>
    <xf numFmtId="168" fontId="0" fillId="0" borderId="17" xfId="0" applyNumberFormat="1" applyBorder="1" applyAlignment="1">
      <alignment horizontal="center"/>
    </xf>
    <xf numFmtId="168" fontId="0" fillId="0" borderId="19" xfId="0" applyNumberFormat="1" applyBorder="1" applyAlignment="1">
      <alignment horizontal="center"/>
    </xf>
    <xf numFmtId="168" fontId="0" fillId="0" borderId="18" xfId="0" applyNumberFormat="1" applyBorder="1" applyAlignment="1">
      <alignment horizontal="center"/>
    </xf>
    <xf numFmtId="0" fontId="51" fillId="39" borderId="55" xfId="0" applyFont="1" applyFill="1" applyBorder="1" applyAlignment="1">
      <alignment horizontal="left" vertical="center" wrapText="1"/>
    </xf>
    <xf numFmtId="0" fontId="51" fillId="39" borderId="70" xfId="0" applyFont="1" applyFill="1" applyBorder="1" applyAlignment="1">
      <alignment horizontal="left" vertical="center" wrapText="1"/>
    </xf>
    <xf numFmtId="0" fontId="51" fillId="39" borderId="56" xfId="0" applyFont="1" applyFill="1" applyBorder="1" applyAlignment="1">
      <alignment horizontal="left" vertical="center" wrapText="1"/>
    </xf>
    <xf numFmtId="0" fontId="51" fillId="40" borderId="55" xfId="0" applyFont="1" applyFill="1" applyBorder="1" applyAlignment="1">
      <alignment horizontal="left" vertical="center" wrapText="1"/>
    </xf>
    <xf numFmtId="0" fontId="51" fillId="40" borderId="65" xfId="0" applyFont="1" applyFill="1" applyBorder="1" applyAlignment="1">
      <alignment horizontal="left" vertical="center" wrapText="1"/>
    </xf>
    <xf numFmtId="0" fontId="51" fillId="40" borderId="56" xfId="0" applyFont="1" applyFill="1" applyBorder="1" applyAlignment="1">
      <alignment horizontal="left" vertical="center" wrapText="1"/>
    </xf>
    <xf numFmtId="0" fontId="51" fillId="41" borderId="55" xfId="0" applyFont="1" applyFill="1" applyBorder="1" applyAlignment="1">
      <alignment horizontal="left" vertical="center" wrapText="1"/>
    </xf>
    <xf numFmtId="0" fontId="51" fillId="41" borderId="65" xfId="0" applyFont="1" applyFill="1" applyBorder="1" applyAlignment="1">
      <alignment horizontal="left" vertical="center" wrapText="1"/>
    </xf>
    <xf numFmtId="0" fontId="51" fillId="41" borderId="56" xfId="0" applyFont="1" applyFill="1" applyBorder="1" applyAlignment="1">
      <alignment horizontal="left" vertical="center" wrapText="1"/>
    </xf>
    <xf numFmtId="0" fontId="30" fillId="0" borderId="55" xfId="0" applyFont="1" applyBorder="1" applyAlignment="1">
      <alignment horizontal="left" vertical="center"/>
    </xf>
    <xf numFmtId="0" fontId="30" fillId="0" borderId="65" xfId="0" applyFont="1" applyBorder="1" applyAlignment="1">
      <alignment horizontal="left" vertical="center"/>
    </xf>
    <xf numFmtId="0" fontId="30" fillId="0" borderId="56" xfId="0" applyFont="1" applyBorder="1" applyAlignment="1">
      <alignment horizontal="left" vertical="center"/>
    </xf>
    <xf numFmtId="0" fontId="35" fillId="0" borderId="10" xfId="0" applyFont="1" applyBorder="1" applyAlignment="1">
      <alignment horizontal="left" vertical="top" wrapText="1"/>
    </xf>
    <xf numFmtId="0" fontId="51" fillId="35" borderId="71" xfId="0" applyFont="1" applyFill="1" applyBorder="1" applyAlignment="1">
      <alignment horizontal="center" vertical="center"/>
    </xf>
    <xf numFmtId="0" fontId="51" fillId="35" borderId="74" xfId="0" applyFont="1" applyFill="1" applyBorder="1" applyAlignment="1">
      <alignment horizontal="center" vertical="center"/>
    </xf>
    <xf numFmtId="0" fontId="51" fillId="35" borderId="72" xfId="0" applyFont="1" applyFill="1" applyBorder="1" applyAlignment="1">
      <alignment horizontal="center" vertical="center"/>
    </xf>
    <xf numFmtId="0" fontId="51" fillId="35" borderId="62" xfId="0" applyFont="1" applyFill="1" applyBorder="1" applyAlignment="1">
      <alignment horizontal="center" vertical="center"/>
    </xf>
    <xf numFmtId="0" fontId="51" fillId="35" borderId="37" xfId="0" applyFont="1" applyFill="1" applyBorder="1" applyAlignment="1">
      <alignment horizontal="center" vertical="center"/>
    </xf>
    <xf numFmtId="0" fontId="51" fillId="35" borderId="73" xfId="0" applyFont="1" applyFill="1" applyBorder="1" applyAlignment="1">
      <alignment horizontal="center" vertical="center" wrapText="1"/>
    </xf>
    <xf numFmtId="0" fontId="51" fillId="35" borderId="68" xfId="0" applyFont="1" applyFill="1" applyBorder="1" applyAlignment="1">
      <alignment horizontal="center" vertical="center" wrapText="1"/>
    </xf>
    <xf numFmtId="0" fontId="51" fillId="38" borderId="34" xfId="0" applyFont="1" applyFill="1" applyBorder="1" applyAlignment="1">
      <alignment horizontal="justify" vertical="center" wrapText="1"/>
    </xf>
    <xf numFmtId="0" fontId="51" fillId="38" borderId="41" xfId="0" applyFont="1" applyFill="1" applyBorder="1" applyAlignment="1">
      <alignment horizontal="justify" vertical="center" wrapText="1"/>
    </xf>
    <xf numFmtId="0" fontId="51" fillId="38" borderId="36" xfId="0" applyFont="1" applyFill="1" applyBorder="1" applyAlignment="1">
      <alignment horizontal="justify" vertical="center" wrapText="1"/>
    </xf>
    <xf numFmtId="0" fontId="40" fillId="34" borderId="10" xfId="0" applyFont="1" applyFill="1" applyBorder="1" applyAlignment="1">
      <alignment horizontal="center" vertical="center" wrapText="1"/>
    </xf>
    <xf numFmtId="0" fontId="40" fillId="34" borderId="10" xfId="0" applyFont="1" applyFill="1" applyBorder="1" applyAlignment="1">
      <alignment horizontal="center"/>
    </xf>
    <xf numFmtId="0" fontId="51" fillId="34" borderId="20" xfId="0" applyFont="1" applyFill="1" applyBorder="1" applyAlignment="1">
      <alignment horizontal="center"/>
    </xf>
    <xf numFmtId="0" fontId="51" fillId="34" borderId="0" xfId="0" applyFont="1" applyFill="1" applyBorder="1" applyAlignment="1">
      <alignment horizontal="center"/>
    </xf>
    <xf numFmtId="0" fontId="0" fillId="0" borderId="62" xfId="0" applyBorder="1" applyAlignment="1">
      <alignment horizontal="center" vertical="center"/>
    </xf>
    <xf numFmtId="0" fontId="0" fillId="0" borderId="0" xfId="0" applyBorder="1" applyAlignment="1">
      <alignment horizontal="center" vertical="center"/>
    </xf>
    <xf numFmtId="2" fontId="0" fillId="0" borderId="11" xfId="0" applyNumberFormat="1" applyBorder="1" applyAlignment="1">
      <alignment horizontal="center" vertical="center"/>
    </xf>
    <xf numFmtId="2" fontId="0" fillId="0" borderId="43" xfId="0" applyNumberFormat="1" applyBorder="1" applyAlignment="1">
      <alignment horizontal="center" vertical="center"/>
    </xf>
    <xf numFmtId="164" fontId="0" fillId="0" borderId="46" xfId="0" applyNumberFormat="1" applyBorder="1" applyAlignment="1">
      <alignment horizontal="center" vertical="center"/>
    </xf>
    <xf numFmtId="164" fontId="0" fillId="0" borderId="48" xfId="0" applyNumberFormat="1" applyBorder="1" applyAlignment="1">
      <alignment horizontal="center" vertical="center"/>
    </xf>
    <xf numFmtId="164" fontId="0" fillId="0" borderId="25"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31" xfId="0" applyNumberFormat="1" applyBorder="1" applyAlignment="1">
      <alignment horizontal="center" vertical="center"/>
    </xf>
    <xf numFmtId="0" fontId="0" fillId="0" borderId="70" xfId="0" applyBorder="1" applyAlignment="1">
      <alignment horizontal="center" vertical="center"/>
    </xf>
    <xf numFmtId="2" fontId="0" fillId="0" borderId="41" xfId="0" applyNumberFormat="1" applyBorder="1" applyAlignment="1">
      <alignment horizontal="center" vertical="center"/>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43" xfId="0" applyBorder="1" applyAlignment="1">
      <alignment horizontal="center" vertical="center"/>
    </xf>
    <xf numFmtId="164" fontId="0" fillId="0" borderId="47" xfId="0" applyNumberFormat="1" applyBorder="1" applyAlignment="1">
      <alignment horizontal="center" vertical="center"/>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53" xfId="0" applyBorder="1" applyAlignment="1">
      <alignment horizontal="center" vertical="center"/>
    </xf>
    <xf numFmtId="2" fontId="0" fillId="0" borderId="22" xfId="0" applyNumberFormat="1" applyBorder="1" applyAlignment="1">
      <alignment horizontal="center" vertical="center"/>
    </xf>
    <xf numFmtId="2" fontId="0" fillId="0" borderId="10" xfId="0" applyNumberFormat="1" applyBorder="1" applyAlignment="1">
      <alignment horizontal="center" vertical="center"/>
    </xf>
    <xf numFmtId="2" fontId="0" fillId="0" borderId="30" xfId="0" applyNumberFormat="1"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2" fontId="0" fillId="0" borderId="15" xfId="0" applyNumberFormat="1" applyBorder="1" applyAlignment="1">
      <alignment horizontal="center" vertical="center"/>
    </xf>
    <xf numFmtId="2" fontId="0" fillId="0" borderId="16" xfId="0" applyNumberFormat="1" applyBorder="1" applyAlignment="1">
      <alignment horizontal="center" vertical="center"/>
    </xf>
    <xf numFmtId="164" fontId="0" fillId="0" borderId="33" xfId="0" applyNumberFormat="1" applyBorder="1" applyAlignment="1">
      <alignment horizontal="center" vertical="center"/>
    </xf>
    <xf numFmtId="164" fontId="0" fillId="0" borderId="28" xfId="0" applyNumberFormat="1" applyBorder="1" applyAlignment="1">
      <alignment horizontal="center" vertical="center"/>
    </xf>
    <xf numFmtId="0" fontId="23" fillId="35" borderId="22" xfId="0" applyFont="1" applyFill="1" applyBorder="1" applyAlignment="1">
      <alignment horizontal="center" vertical="center" wrapText="1"/>
    </xf>
    <xf numFmtId="0" fontId="23" fillId="35" borderId="16" xfId="0" applyFont="1" applyFill="1" applyBorder="1" applyAlignment="1">
      <alignment horizontal="center" vertical="center" wrapText="1"/>
    </xf>
    <xf numFmtId="0" fontId="23" fillId="35" borderId="10" xfId="0" applyFont="1" applyFill="1" applyBorder="1" applyAlignment="1">
      <alignment horizontal="center" vertical="center"/>
    </xf>
    <xf numFmtId="0" fontId="33" fillId="35" borderId="10" xfId="0" applyFont="1" applyFill="1" applyBorder="1" applyAlignment="1">
      <alignment horizontal="center" vertical="center"/>
    </xf>
    <xf numFmtId="0" fontId="23" fillId="35" borderId="24" xfId="0" applyFont="1" applyFill="1" applyBorder="1" applyAlignment="1">
      <alignment horizontal="center" vertical="center" wrapText="1"/>
    </xf>
    <xf numFmtId="0" fontId="23" fillId="35" borderId="23" xfId="0" applyFont="1" applyFill="1" applyBorder="1" applyAlignment="1">
      <alignment horizontal="center" vertical="center" wrapText="1"/>
    </xf>
    <xf numFmtId="43" fontId="0" fillId="0" borderId="41" xfId="42" applyFont="1" applyBorder="1" applyAlignment="1">
      <alignment horizontal="center" vertical="center"/>
    </xf>
    <xf numFmtId="43" fontId="0" fillId="0" borderId="43" xfId="42" applyFont="1" applyBorder="1" applyAlignment="1">
      <alignment horizontal="center" vertical="center"/>
    </xf>
    <xf numFmtId="43" fontId="0" fillId="0" borderId="11" xfId="42" applyFont="1" applyBorder="1" applyAlignment="1">
      <alignment horizontal="center" vertical="center"/>
    </xf>
    <xf numFmtId="43" fontId="26" fillId="0" borderId="41" xfId="0" applyNumberFormat="1" applyFont="1" applyBorder="1" applyAlignment="1">
      <alignment horizontal="center" vertical="center"/>
    </xf>
    <xf numFmtId="43" fontId="26" fillId="0" borderId="11" xfId="0" applyNumberFormat="1" applyFont="1" applyBorder="1" applyAlignment="1">
      <alignment horizontal="center" vertical="center"/>
    </xf>
    <xf numFmtId="0" fontId="0" fillId="0" borderId="54" xfId="0" applyBorder="1" applyAlignment="1">
      <alignment horizontal="center" vertical="center"/>
    </xf>
    <xf numFmtId="0" fontId="0" fillId="0" borderId="52" xfId="0" applyBorder="1" applyAlignment="1">
      <alignment horizontal="center" vertical="center"/>
    </xf>
    <xf numFmtId="170" fontId="26" fillId="0" borderId="22" xfId="0" applyNumberFormat="1" applyFont="1" applyBorder="1" applyAlignment="1">
      <alignment horizontal="center" vertical="center"/>
    </xf>
    <xf numFmtId="170" fontId="26" fillId="0" borderId="10" xfId="0" applyNumberFormat="1" applyFont="1" applyBorder="1" applyAlignment="1">
      <alignment horizontal="center" vertical="center"/>
    </xf>
    <xf numFmtId="170" fontId="26" fillId="0" borderId="30" xfId="0" applyNumberFormat="1" applyFont="1" applyBorder="1" applyAlignment="1">
      <alignment horizontal="center" vertical="center"/>
    </xf>
    <xf numFmtId="2" fontId="0" fillId="0" borderId="25" xfId="0" applyNumberFormat="1" applyBorder="1" applyAlignment="1">
      <alignment horizontal="center" vertical="center"/>
    </xf>
    <xf numFmtId="2" fontId="0" fillId="0" borderId="27" xfId="0" applyNumberFormat="1" applyBorder="1" applyAlignment="1">
      <alignment horizontal="center" vertical="center"/>
    </xf>
    <xf numFmtId="2" fontId="0" fillId="0" borderId="31" xfId="0" applyNumberFormat="1" applyBorder="1" applyAlignment="1">
      <alignment horizontal="center" vertical="center"/>
    </xf>
    <xf numFmtId="0" fontId="19" fillId="34" borderId="42" xfId="0" applyFont="1" applyFill="1" applyBorder="1" applyAlignment="1">
      <alignment horizontal="center" vertical="top"/>
    </xf>
    <xf numFmtId="0" fontId="19" fillId="34" borderId="39" xfId="0" applyFont="1" applyFill="1" applyBorder="1" applyAlignment="1">
      <alignment horizontal="center" vertical="top"/>
    </xf>
    <xf numFmtId="0" fontId="19" fillId="34" borderId="50" xfId="0" applyFont="1" applyFill="1" applyBorder="1" applyAlignment="1">
      <alignment horizontal="center" vertical="top"/>
    </xf>
    <xf numFmtId="0" fontId="0" fillId="0" borderId="21" xfId="0" applyBorder="1" applyAlignment="1">
      <alignment horizontal="center" vertical="center"/>
    </xf>
    <xf numFmtId="2" fontId="0" fillId="0" borderId="45" xfId="0" applyNumberFormat="1" applyBorder="1" applyAlignment="1">
      <alignment horizontal="center" vertical="center"/>
    </xf>
    <xf numFmtId="2" fontId="0" fillId="0" borderId="51" xfId="0" applyNumberFormat="1" applyBorder="1" applyAlignment="1">
      <alignment horizontal="center" vertical="center"/>
    </xf>
    <xf numFmtId="2" fontId="0" fillId="0" borderId="44" xfId="0" applyNumberFormat="1" applyBorder="1" applyAlignment="1">
      <alignment horizontal="center" vertical="center"/>
    </xf>
    <xf numFmtId="2" fontId="0" fillId="0" borderId="46" xfId="0" applyNumberFormat="1" applyBorder="1" applyAlignment="1">
      <alignment horizontal="center" vertical="center"/>
    </xf>
    <xf numFmtId="2" fontId="0" fillId="0" borderId="48" xfId="0" applyNumberFormat="1" applyBorder="1" applyAlignment="1">
      <alignment horizontal="center" vertical="center"/>
    </xf>
    <xf numFmtId="2" fontId="0" fillId="0" borderId="47" xfId="0" applyNumberFormat="1"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23" fillId="35" borderId="25" xfId="0" applyFont="1" applyFill="1" applyBorder="1" applyAlignment="1">
      <alignment horizontal="center" vertical="center" wrapText="1"/>
    </xf>
    <xf numFmtId="0" fontId="23" fillId="35" borderId="28" xfId="0" applyFont="1" applyFill="1" applyBorder="1" applyAlignment="1">
      <alignment horizontal="center" vertical="center" wrapText="1"/>
    </xf>
    <xf numFmtId="0" fontId="31" fillId="0" borderId="10" xfId="0" applyFont="1" applyBorder="1" applyAlignment="1">
      <alignment horizontal="left" vertical="center"/>
    </xf>
    <xf numFmtId="0" fontId="23" fillId="35" borderId="17" xfId="0" applyFont="1" applyFill="1" applyBorder="1" applyAlignment="1">
      <alignment horizontal="center" vertical="center"/>
    </xf>
    <xf numFmtId="0" fontId="23" fillId="35" borderId="18" xfId="0" applyFont="1" applyFill="1" applyBorder="1" applyAlignment="1">
      <alignment horizontal="center" vertical="center"/>
    </xf>
  </cellXfs>
  <cellStyles count="93">
    <cellStyle name="20% - Accent1" xfId="19" builtinId="30" customBuiltin="1"/>
    <cellStyle name="20% - Accent1 2" xfId="66"/>
    <cellStyle name="20% - Accent2" xfId="23" builtinId="34" customBuiltin="1"/>
    <cellStyle name="20% - Accent2 2" xfId="70"/>
    <cellStyle name="20% - Accent3" xfId="27" builtinId="38" customBuiltin="1"/>
    <cellStyle name="20% - Accent3 2" xfId="74"/>
    <cellStyle name="20% - Accent4" xfId="31" builtinId="42" customBuiltin="1"/>
    <cellStyle name="20% - Accent4 2" xfId="78"/>
    <cellStyle name="20% - Accent5" xfId="35" builtinId="46" customBuiltin="1"/>
    <cellStyle name="20% - Accent5 2" xfId="82"/>
    <cellStyle name="20% - Accent6" xfId="39" builtinId="50" customBuiltin="1"/>
    <cellStyle name="20% - Accent6 2" xfId="86"/>
    <cellStyle name="40% - Accent1" xfId="20" builtinId="31" customBuiltin="1"/>
    <cellStyle name="40% - Accent1 2" xfId="67"/>
    <cellStyle name="40% - Accent2" xfId="24" builtinId="35" customBuiltin="1"/>
    <cellStyle name="40% - Accent2 2" xfId="71"/>
    <cellStyle name="40% - Accent3" xfId="28" builtinId="39" customBuiltin="1"/>
    <cellStyle name="40% - Accent3 2" xfId="75"/>
    <cellStyle name="40% - Accent4" xfId="32" builtinId="43" customBuiltin="1"/>
    <cellStyle name="40% - Accent4 2" xfId="79"/>
    <cellStyle name="40% - Accent5" xfId="36" builtinId="47" customBuiltin="1"/>
    <cellStyle name="40% - Accent5 2" xfId="83"/>
    <cellStyle name="40% - Accent6" xfId="40" builtinId="51" customBuiltin="1"/>
    <cellStyle name="40% - Accent6 2" xfId="87"/>
    <cellStyle name="60% - Accent1" xfId="21" builtinId="32" customBuiltin="1"/>
    <cellStyle name="60% - Accent1 2" xfId="68"/>
    <cellStyle name="60% - Accent2" xfId="25" builtinId="36" customBuiltin="1"/>
    <cellStyle name="60% - Accent2 2" xfId="72"/>
    <cellStyle name="60% - Accent3" xfId="29" builtinId="40" customBuiltin="1"/>
    <cellStyle name="60% - Accent3 2" xfId="76"/>
    <cellStyle name="60% - Accent4" xfId="33" builtinId="44" customBuiltin="1"/>
    <cellStyle name="60% - Accent4 2" xfId="80"/>
    <cellStyle name="60% - Accent5" xfId="37" builtinId="48" customBuiltin="1"/>
    <cellStyle name="60% - Accent5 2" xfId="84"/>
    <cellStyle name="60% - Accent6" xfId="41" builtinId="52" customBuiltin="1"/>
    <cellStyle name="60% - Accent6 2" xfId="88"/>
    <cellStyle name="Accent1" xfId="18" builtinId="29" customBuiltin="1"/>
    <cellStyle name="Accent1 2" xfId="65"/>
    <cellStyle name="Accent2" xfId="22" builtinId="33" customBuiltin="1"/>
    <cellStyle name="Accent2 2" xfId="69"/>
    <cellStyle name="Accent3" xfId="26" builtinId="37" customBuiltin="1"/>
    <cellStyle name="Accent3 2" xfId="73"/>
    <cellStyle name="Accent4" xfId="30" builtinId="41" customBuiltin="1"/>
    <cellStyle name="Accent4 2" xfId="77"/>
    <cellStyle name="Accent5" xfId="34" builtinId="45" customBuiltin="1"/>
    <cellStyle name="Accent5 2" xfId="81"/>
    <cellStyle name="Accent6" xfId="38" builtinId="49" customBuiltin="1"/>
    <cellStyle name="Accent6 2" xfId="85"/>
    <cellStyle name="Bad" xfId="7" builtinId="27" customBuiltin="1"/>
    <cellStyle name="Bad 2" xfId="54"/>
    <cellStyle name="Calculation" xfId="11" builtinId="22" customBuiltin="1"/>
    <cellStyle name="Calculation 2" xfId="58"/>
    <cellStyle name="Check Cell" xfId="13" builtinId="23" customBuiltin="1"/>
    <cellStyle name="Check Cell 2" xfId="60"/>
    <cellStyle name="Comma" xfId="42" builtinId="3"/>
    <cellStyle name="Comma 2" xfId="45"/>
    <cellStyle name="Comma 3" xfId="89"/>
    <cellStyle name="Comma 4" xfId="92"/>
    <cellStyle name="Explanatory Text" xfId="16" builtinId="53" customBuiltin="1"/>
    <cellStyle name="Explanatory Text 2" xfId="63"/>
    <cellStyle name="Good" xfId="6" builtinId="26" customBuiltin="1"/>
    <cellStyle name="Good 2" xfId="53"/>
    <cellStyle name="Heading 1" xfId="2" builtinId="16" customBuiltin="1"/>
    <cellStyle name="Heading 1 2" xfId="49"/>
    <cellStyle name="Heading 2" xfId="3" builtinId="17" customBuiltin="1"/>
    <cellStyle name="Heading 2 2" xfId="50"/>
    <cellStyle name="Heading 3" xfId="4" builtinId="18" customBuiltin="1"/>
    <cellStyle name="Heading 3 2" xfId="51"/>
    <cellStyle name="Heading 4" xfId="5" builtinId="19" customBuiltin="1"/>
    <cellStyle name="Heading 4 2" xfId="52"/>
    <cellStyle name="Input" xfId="9" builtinId="20" customBuiltin="1"/>
    <cellStyle name="Input 2" xfId="56"/>
    <cellStyle name="Linked Cell" xfId="12" builtinId="24" customBuiltin="1"/>
    <cellStyle name="Linked Cell 2" xfId="59"/>
    <cellStyle name="Neutral" xfId="8" builtinId="28" customBuiltin="1"/>
    <cellStyle name="Neutral 2" xfId="55"/>
    <cellStyle name="Normal" xfId="0" builtinId="0"/>
    <cellStyle name="Normal 2" xfId="44"/>
    <cellStyle name="Normal 3" xfId="47"/>
    <cellStyle name="Normal 4" xfId="91"/>
    <cellStyle name="Note" xfId="15" builtinId="10" customBuiltin="1"/>
    <cellStyle name="Note 2" xfId="62"/>
    <cellStyle name="Output" xfId="10" builtinId="21" customBuiltin="1"/>
    <cellStyle name="Output 2" xfId="57"/>
    <cellStyle name="Percent" xfId="43" builtinId="5"/>
    <cellStyle name="Percent 2" xfId="46"/>
    <cellStyle name="Percent 3" xfId="90"/>
    <cellStyle name="Title" xfId="1" builtinId="15" customBuiltin="1"/>
    <cellStyle name="Title 2" xfId="48"/>
    <cellStyle name="Total" xfId="17" builtinId="25" customBuiltin="1"/>
    <cellStyle name="Total 2" xfId="64"/>
    <cellStyle name="Warning Text" xfId="14" builtinId="11" customBuiltin="1"/>
    <cellStyle name="Warning Text 2" xfId="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manualLayout>
          <c:layoutTarget val="inner"/>
          <c:xMode val="edge"/>
          <c:yMode val="edge"/>
          <c:x val="8.4620186113099502E-2"/>
          <c:y val="6.74298443262311E-2"/>
          <c:w val="0.91537981388690048"/>
          <c:h val="0.66780140547733113"/>
        </c:manualLayout>
      </c:layout>
      <c:bar3DChart>
        <c:barDir val="col"/>
        <c:grouping val="clustered"/>
        <c:varyColors val="0"/>
        <c:ser>
          <c:idx val="0"/>
          <c:order val="0"/>
          <c:tx>
            <c:strRef>
              <c:f>CWR!$A$32</c:f>
              <c:strCache>
                <c:ptCount val="1"/>
                <c:pt idx="0">
                  <c:v>Total demand, (Mm3)</c:v>
                </c:pt>
              </c:strCache>
            </c:strRef>
          </c:tx>
          <c:invertIfNegative val="0"/>
          <c:cat>
            <c:strRef>
              <c:f>CWR!$B$2:$M$2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CWR!$B$32:$M$32</c:f>
              <c:numCache>
                <c:formatCode>0.000</c:formatCode>
                <c:ptCount val="12"/>
                <c:pt idx="0">
                  <c:v>0.43330601995532364</c:v>
                </c:pt>
                <c:pt idx="1">
                  <c:v>0.40256505110150786</c:v>
                </c:pt>
                <c:pt idx="2">
                  <c:v>0.31647658283161351</c:v>
                </c:pt>
                <c:pt idx="3">
                  <c:v>0.15796720228579197</c:v>
                </c:pt>
                <c:pt idx="4">
                  <c:v>0.1689225210097848</c:v>
                </c:pt>
                <c:pt idx="5">
                  <c:v>0.16286160685737597</c:v>
                </c:pt>
                <c:pt idx="6">
                  <c:v>0.16070400000000001</c:v>
                </c:pt>
                <c:pt idx="7">
                  <c:v>0.16212744617163835</c:v>
                </c:pt>
                <c:pt idx="8">
                  <c:v>0.29725788754719362</c:v>
                </c:pt>
                <c:pt idx="9">
                  <c:v>0.39461575181695208</c:v>
                </c:pt>
                <c:pt idx="10">
                  <c:v>0.33612352869144962</c:v>
                </c:pt>
                <c:pt idx="11" formatCode="0.0000">
                  <c:v>0.38450064903567843</c:v>
                </c:pt>
              </c:numCache>
            </c:numRef>
          </c:val>
        </c:ser>
        <c:ser>
          <c:idx val="1"/>
          <c:order val="1"/>
          <c:tx>
            <c:strRef>
              <c:f>CWR!$A$37</c:f>
              <c:strCache>
                <c:ptCount val="1"/>
                <c:pt idx="0">
                  <c:v>Monthly low flow/Supply  (Mm3)</c:v>
                </c:pt>
              </c:strCache>
            </c:strRef>
          </c:tx>
          <c:invertIfNegative val="0"/>
          <c:cat>
            <c:strRef>
              <c:f>CWR!$B$2:$M$2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CWR!$B$37:$M$37</c:f>
              <c:numCache>
                <c:formatCode>0.000</c:formatCode>
                <c:ptCount val="12"/>
                <c:pt idx="0">
                  <c:v>2.1895920000000006</c:v>
                </c:pt>
                <c:pt idx="1">
                  <c:v>0.98884799999999995</c:v>
                </c:pt>
                <c:pt idx="2">
                  <c:v>0.65286</c:v>
                </c:pt>
                <c:pt idx="3">
                  <c:v>0.39851999999999993</c:v>
                </c:pt>
                <c:pt idx="4">
                  <c:v>1.278268368837209</c:v>
                </c:pt>
                <c:pt idx="5">
                  <c:v>2.6166584444972578</c:v>
                </c:pt>
                <c:pt idx="6">
                  <c:v>4.1045745169209233</c:v>
                </c:pt>
                <c:pt idx="7">
                  <c:v>3.5432192520552133</c:v>
                </c:pt>
                <c:pt idx="8">
                  <c:v>1.8306632802285272</c:v>
                </c:pt>
                <c:pt idx="9">
                  <c:v>0.9153316401142636</c:v>
                </c:pt>
                <c:pt idx="10">
                  <c:v>0.44290240650690166</c:v>
                </c:pt>
                <c:pt idx="11">
                  <c:v>0.2288329100285659</c:v>
                </c:pt>
              </c:numCache>
            </c:numRef>
          </c:val>
        </c:ser>
        <c:ser>
          <c:idx val="2"/>
          <c:order val="2"/>
          <c:tx>
            <c:strRef>
              <c:f>CWR!$A$38</c:f>
              <c:strCache>
                <c:ptCount val="1"/>
                <c:pt idx="0">
                  <c:v>Water Balance (Mm3)</c:v>
                </c:pt>
              </c:strCache>
            </c:strRef>
          </c:tx>
          <c:invertIfNegative val="0"/>
          <c:cat>
            <c:strRef>
              <c:f>CWR!$B$2:$M$2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CWR!$B$38:$M$38</c:f>
              <c:numCache>
                <c:formatCode>0.000</c:formatCode>
                <c:ptCount val="12"/>
                <c:pt idx="0">
                  <c:v>1.7562859800446771</c:v>
                </c:pt>
                <c:pt idx="1">
                  <c:v>0.58628294889849208</c:v>
                </c:pt>
                <c:pt idx="2">
                  <c:v>0.33638341716838649</c:v>
                </c:pt>
                <c:pt idx="3">
                  <c:v>0.24055279771420796</c:v>
                </c:pt>
                <c:pt idx="4">
                  <c:v>1.1093458478274241</c:v>
                </c:pt>
                <c:pt idx="5">
                  <c:v>2.453796837639882</c:v>
                </c:pt>
                <c:pt idx="6">
                  <c:v>3.9438705169209234</c:v>
                </c:pt>
                <c:pt idx="7">
                  <c:v>3.3810918058835751</c:v>
                </c:pt>
                <c:pt idx="8">
                  <c:v>1.5334053926813336</c:v>
                </c:pt>
                <c:pt idx="9">
                  <c:v>0.52071588829731152</c:v>
                </c:pt>
                <c:pt idx="10">
                  <c:v>0.10677887781545203</c:v>
                </c:pt>
                <c:pt idx="11">
                  <c:v>-0.15566773900711253</c:v>
                </c:pt>
              </c:numCache>
            </c:numRef>
          </c:val>
        </c:ser>
        <c:ser>
          <c:idx val="3"/>
          <c:order val="3"/>
          <c:tx>
            <c:strRef>
              <c:f>CWR!$A$40</c:f>
              <c:strCache>
                <c:ptCount val="1"/>
                <c:pt idx="0">
                  <c:v>Expected irrigation supply from Kerkero River for 24hr  (Mm3), 26.2%</c:v>
                </c:pt>
              </c:strCache>
            </c:strRef>
          </c:tx>
          <c:invertIfNegative val="0"/>
          <c:cat>
            <c:strRef>
              <c:f>CWR!$B$2:$M$2</c:f>
              <c:strCache>
                <c:ptCount val="12"/>
                <c:pt idx="0">
                  <c:v>J</c:v>
                </c:pt>
                <c:pt idx="1">
                  <c:v>F</c:v>
                </c:pt>
                <c:pt idx="2">
                  <c:v>M</c:v>
                </c:pt>
                <c:pt idx="3">
                  <c:v>A</c:v>
                </c:pt>
                <c:pt idx="4">
                  <c:v>M</c:v>
                </c:pt>
                <c:pt idx="5">
                  <c:v>J</c:v>
                </c:pt>
                <c:pt idx="6">
                  <c:v>J</c:v>
                </c:pt>
                <c:pt idx="7">
                  <c:v>A</c:v>
                </c:pt>
                <c:pt idx="8">
                  <c:v>S</c:v>
                </c:pt>
                <c:pt idx="9">
                  <c:v>O</c:v>
                </c:pt>
                <c:pt idx="10">
                  <c:v>N</c:v>
                </c:pt>
                <c:pt idx="11">
                  <c:v>D</c:v>
                </c:pt>
              </c:strCache>
            </c:strRef>
          </c:cat>
          <c:val>
            <c:numRef>
              <c:f>CWR!$B$40:$M$40</c:f>
              <c:numCache>
                <c:formatCode>0.000</c:formatCode>
                <c:ptCount val="12"/>
                <c:pt idx="0">
                  <c:v>6.7028018141203224E-2</c:v>
                </c:pt>
                <c:pt idx="1">
                  <c:v>0.15236386463773446</c:v>
                </c:pt>
                <c:pt idx="2">
                  <c:v>5.121543893783044E-2</c:v>
                </c:pt>
                <c:pt idx="3">
                  <c:v>0</c:v>
                </c:pt>
                <c:pt idx="4">
                  <c:v>0</c:v>
                </c:pt>
                <c:pt idx="5">
                  <c:v>0</c:v>
                </c:pt>
                <c:pt idx="6">
                  <c:v>0</c:v>
                </c:pt>
                <c:pt idx="7">
                  <c:v>0</c:v>
                </c:pt>
                <c:pt idx="8">
                  <c:v>0</c:v>
                </c:pt>
                <c:pt idx="9">
                  <c:v>0</c:v>
                </c:pt>
                <c:pt idx="10">
                  <c:v>0</c:v>
                </c:pt>
                <c:pt idx="11">
                  <c:v>8.3181770806338706E-2</c:v>
                </c:pt>
              </c:numCache>
            </c:numRef>
          </c:val>
        </c:ser>
        <c:dLbls>
          <c:showLegendKey val="0"/>
          <c:showVal val="0"/>
          <c:showCatName val="0"/>
          <c:showSerName val="0"/>
          <c:showPercent val="0"/>
          <c:showBubbleSize val="0"/>
        </c:dLbls>
        <c:gapWidth val="150"/>
        <c:shape val="box"/>
        <c:axId val="199370240"/>
        <c:axId val="199371776"/>
        <c:axId val="0"/>
      </c:bar3DChart>
      <c:catAx>
        <c:axId val="199370240"/>
        <c:scaling>
          <c:orientation val="minMax"/>
        </c:scaling>
        <c:delete val="0"/>
        <c:axPos val="b"/>
        <c:numFmt formatCode="General" sourceLinked="0"/>
        <c:majorTickMark val="out"/>
        <c:minorTickMark val="none"/>
        <c:tickLblPos val="nextTo"/>
        <c:crossAx val="199371776"/>
        <c:crosses val="autoZero"/>
        <c:auto val="1"/>
        <c:lblAlgn val="ctr"/>
        <c:lblOffset val="100"/>
        <c:noMultiLvlLbl val="0"/>
      </c:catAx>
      <c:valAx>
        <c:axId val="199371776"/>
        <c:scaling>
          <c:orientation val="minMax"/>
        </c:scaling>
        <c:delete val="0"/>
        <c:axPos val="l"/>
        <c:majorGridlines/>
        <c:numFmt formatCode="0" sourceLinked="0"/>
        <c:majorTickMark val="out"/>
        <c:minorTickMark val="none"/>
        <c:tickLblPos val="nextTo"/>
        <c:crossAx val="199370240"/>
        <c:crosses val="autoZero"/>
        <c:crossBetween val="between"/>
      </c:valAx>
    </c:plotArea>
    <c:legend>
      <c:legendPos val="b"/>
      <c:legendEntry>
        <c:idx val="3"/>
        <c:txPr>
          <a:bodyPr/>
          <a:lstStyle/>
          <a:p>
            <a:pPr>
              <a:defRPr baseline="0">
                <a:solidFill>
                  <a:srgbClr val="FF0000"/>
                </a:solidFill>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66675</xdr:colOff>
      <xdr:row>23</xdr:row>
      <xdr:rowOff>104775</xdr:rowOff>
    </xdr:from>
    <xdr:to>
      <xdr:col>23</xdr:col>
      <xdr:colOff>428625</xdr:colOff>
      <xdr:row>39</xdr:row>
      <xdr:rowOff>280987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2609850</xdr:colOff>
          <xdr:row>35</xdr:row>
          <xdr:rowOff>28575</xdr:rowOff>
        </xdr:from>
        <xdr:to>
          <xdr:col>0</xdr:col>
          <xdr:colOff>3933825</xdr:colOff>
          <xdr:row>36</xdr:row>
          <xdr:rowOff>0</xdr:rowOff>
        </xdr:to>
        <xdr:sp macro="" textlink="">
          <xdr:nvSpPr>
            <xdr:cNvPr id="529409" name="Object 1" hidden="1">
              <a:extLst>
                <a:ext uri="{63B3BB69-23CF-44E3-9099-C40C66FF867C}">
                  <a14:compatExt spid="_x0000_s529409"/>
                </a:ext>
              </a:extLst>
            </xdr:cNvPr>
            <xdr:cNvSpPr/>
          </xdr:nvSpPr>
          <xdr:spPr>
            <a:xfrm>
              <a:off x="0" y="0"/>
              <a:ext cx="0" cy="0"/>
            </a:xfrm>
            <a:prstGeom prst="rect">
              <a:avLst/>
            </a:prstGeom>
          </xdr:spPr>
        </xdr:sp>
        <xdr:clientData/>
      </xdr:twoCellAnchor>
    </mc:Choice>
    <mc:Fallback/>
  </mc:AlternateContent>
  <xdr:twoCellAnchor>
    <xdr:from>
      <xdr:col>0</xdr:col>
      <xdr:colOff>1971675</xdr:colOff>
      <xdr:row>47</xdr:row>
      <xdr:rowOff>19050</xdr:rowOff>
    </xdr:from>
    <xdr:to>
      <xdr:col>0</xdr:col>
      <xdr:colOff>3933825</xdr:colOff>
      <xdr:row>47</xdr:row>
      <xdr:rowOff>342900</xdr:rowOff>
    </xdr:to>
    <xdr:pic>
      <xdr:nvPicPr>
        <xdr:cNvPr id="3"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71675" y="6943725"/>
          <a:ext cx="1962150" cy="32385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2590800</xdr:colOff>
          <xdr:row>73</xdr:row>
          <xdr:rowOff>19050</xdr:rowOff>
        </xdr:from>
        <xdr:to>
          <xdr:col>0</xdr:col>
          <xdr:colOff>3914775</xdr:colOff>
          <xdr:row>74</xdr:row>
          <xdr:rowOff>0</xdr:rowOff>
        </xdr:to>
        <xdr:sp macro="" textlink="">
          <xdr:nvSpPr>
            <xdr:cNvPr id="529410" name="Object 2" hidden="1">
              <a:extLst>
                <a:ext uri="{63B3BB69-23CF-44E3-9099-C40C66FF867C}">
                  <a14:compatExt spid="_x0000_s529410"/>
                </a:ext>
              </a:extLst>
            </xdr:cNvPr>
            <xdr:cNvSpPr/>
          </xdr:nvSpPr>
          <xdr:spPr>
            <a:xfrm>
              <a:off x="0" y="0"/>
              <a:ext cx="0" cy="0"/>
            </a:xfrm>
            <a:prstGeom prst="rect">
              <a:avLst/>
            </a:prstGeom>
          </xdr:spPr>
        </xdr:sp>
        <xdr:clientData/>
      </xdr:twoCellAnchor>
    </mc:Choice>
    <mc:Fallback/>
  </mc:AlternateContent>
  <xdr:twoCellAnchor editAs="oneCell">
    <xdr:from>
      <xdr:col>5</xdr:col>
      <xdr:colOff>28575</xdr:colOff>
      <xdr:row>7</xdr:row>
      <xdr:rowOff>95250</xdr:rowOff>
    </xdr:from>
    <xdr:to>
      <xdr:col>13</xdr:col>
      <xdr:colOff>108585</xdr:colOff>
      <xdr:row>28</xdr:row>
      <xdr:rowOff>44958</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67625" y="1171575"/>
          <a:ext cx="4632960" cy="3035808"/>
        </a:xfrm>
        <a:prstGeom prst="rect">
          <a:avLst/>
        </a:prstGeom>
        <a:ln>
          <a:solidFill>
            <a:schemeClr val="accent1"/>
          </a:solidFill>
        </a:ln>
      </xdr:spPr>
    </xdr:pic>
    <xdr:clientData/>
  </xdr:twoCellAnchor>
  <xdr:twoCellAnchor>
    <xdr:from>
      <xdr:col>0</xdr:col>
      <xdr:colOff>1990725</xdr:colOff>
      <xdr:row>95</xdr:row>
      <xdr:rowOff>114300</xdr:rowOff>
    </xdr:from>
    <xdr:to>
      <xdr:col>2</xdr:col>
      <xdr:colOff>333375</xdr:colOff>
      <xdr:row>97</xdr:row>
      <xdr:rowOff>38100</xdr:rowOff>
    </xdr:to>
    <xdr:cxnSp macro="">
      <xdr:nvCxnSpPr>
        <xdr:cNvPr id="9" name="Straight Arrow Connector 8"/>
        <xdr:cNvCxnSpPr/>
      </xdr:nvCxnSpPr>
      <xdr:spPr>
        <a:xfrm>
          <a:off x="1990725" y="16906875"/>
          <a:ext cx="3009900" cy="257175"/>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4</xdr:col>
      <xdr:colOff>447675</xdr:colOff>
      <xdr:row>31</xdr:row>
      <xdr:rowOff>95250</xdr:rowOff>
    </xdr:from>
    <xdr:to>
      <xdr:col>12</xdr:col>
      <xdr:colOff>190500</xdr:colOff>
      <xdr:row>45</xdr:row>
      <xdr:rowOff>139700</xdr:rowOff>
    </xdr:to>
    <xdr:pic>
      <xdr:nvPicPr>
        <xdr:cNvPr id="10" name="Picture 9"/>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62875" y="5257800"/>
          <a:ext cx="4448175" cy="2559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2"/>
  <sheetViews>
    <sheetView topLeftCell="A6" workbookViewId="0">
      <selection activeCell="C39" sqref="C39"/>
    </sheetView>
  </sheetViews>
  <sheetFormatPr defaultRowHeight="15" x14ac:dyDescent="0.25"/>
  <cols>
    <col min="1" max="1" width="32.140625" customWidth="1"/>
    <col min="2" max="5" width="5.5703125" bestFit="1" customWidth="1"/>
    <col min="6" max="6" width="6.140625" bestFit="1" customWidth="1"/>
    <col min="7" max="12" width="5.5703125" bestFit="1" customWidth="1"/>
    <col min="13" max="13" width="6.5703125" bestFit="1" customWidth="1"/>
    <col min="14" max="14" width="6.140625" customWidth="1"/>
    <col min="15" max="15" width="8" bestFit="1" customWidth="1"/>
    <col min="257" max="257" width="29.85546875" bestFit="1" customWidth="1"/>
    <col min="258" max="268" width="6.5703125" bestFit="1" customWidth="1"/>
    <col min="269" max="269" width="7.28515625" bestFit="1" customWidth="1"/>
    <col min="513" max="513" width="29.85546875" bestFit="1" customWidth="1"/>
    <col min="514" max="524" width="6.5703125" bestFit="1" customWidth="1"/>
    <col min="525" max="525" width="7.28515625" bestFit="1" customWidth="1"/>
    <col min="769" max="769" width="29.85546875" bestFit="1" customWidth="1"/>
    <col min="770" max="780" width="6.5703125" bestFit="1" customWidth="1"/>
    <col min="781" max="781" width="7.28515625" bestFit="1" customWidth="1"/>
    <col min="1025" max="1025" width="29.85546875" bestFit="1" customWidth="1"/>
    <col min="1026" max="1036" width="6.5703125" bestFit="1" customWidth="1"/>
    <col min="1037" max="1037" width="7.28515625" bestFit="1" customWidth="1"/>
    <col min="1281" max="1281" width="29.85546875" bestFit="1" customWidth="1"/>
    <col min="1282" max="1292" width="6.5703125" bestFit="1" customWidth="1"/>
    <col min="1293" max="1293" width="7.28515625" bestFit="1" customWidth="1"/>
    <col min="1537" max="1537" width="29.85546875" bestFit="1" customWidth="1"/>
    <col min="1538" max="1548" width="6.5703125" bestFit="1" customWidth="1"/>
    <col min="1549" max="1549" width="7.28515625" bestFit="1" customWidth="1"/>
    <col min="1793" max="1793" width="29.85546875" bestFit="1" customWidth="1"/>
    <col min="1794" max="1804" width="6.5703125" bestFit="1" customWidth="1"/>
    <col min="1805" max="1805" width="7.28515625" bestFit="1" customWidth="1"/>
    <col min="2049" max="2049" width="29.85546875" bestFit="1" customWidth="1"/>
    <col min="2050" max="2060" width="6.5703125" bestFit="1" customWidth="1"/>
    <col min="2061" max="2061" width="7.28515625" bestFit="1" customWidth="1"/>
    <col min="2305" max="2305" width="29.85546875" bestFit="1" customWidth="1"/>
    <col min="2306" max="2316" width="6.5703125" bestFit="1" customWidth="1"/>
    <col min="2317" max="2317" width="7.28515625" bestFit="1" customWidth="1"/>
    <col min="2561" max="2561" width="29.85546875" bestFit="1" customWidth="1"/>
    <col min="2562" max="2572" width="6.5703125" bestFit="1" customWidth="1"/>
    <col min="2573" max="2573" width="7.28515625" bestFit="1" customWidth="1"/>
    <col min="2817" max="2817" width="29.85546875" bestFit="1" customWidth="1"/>
    <col min="2818" max="2828" width="6.5703125" bestFit="1" customWidth="1"/>
    <col min="2829" max="2829" width="7.28515625" bestFit="1" customWidth="1"/>
    <col min="3073" max="3073" width="29.85546875" bestFit="1" customWidth="1"/>
    <col min="3074" max="3084" width="6.5703125" bestFit="1" customWidth="1"/>
    <col min="3085" max="3085" width="7.28515625" bestFit="1" customWidth="1"/>
    <col min="3329" max="3329" width="29.85546875" bestFit="1" customWidth="1"/>
    <col min="3330" max="3340" width="6.5703125" bestFit="1" customWidth="1"/>
    <col min="3341" max="3341" width="7.28515625" bestFit="1" customWidth="1"/>
    <col min="3585" max="3585" width="29.85546875" bestFit="1" customWidth="1"/>
    <col min="3586" max="3596" width="6.5703125" bestFit="1" customWidth="1"/>
    <col min="3597" max="3597" width="7.28515625" bestFit="1" customWidth="1"/>
    <col min="3841" max="3841" width="29.85546875" bestFit="1" customWidth="1"/>
    <col min="3842" max="3852" width="6.5703125" bestFit="1" customWidth="1"/>
    <col min="3853" max="3853" width="7.28515625" bestFit="1" customWidth="1"/>
    <col min="4097" max="4097" width="29.85546875" bestFit="1" customWidth="1"/>
    <col min="4098" max="4108" width="6.5703125" bestFit="1" customWidth="1"/>
    <col min="4109" max="4109" width="7.28515625" bestFit="1" customWidth="1"/>
    <col min="4353" max="4353" width="29.85546875" bestFit="1" customWidth="1"/>
    <col min="4354" max="4364" width="6.5703125" bestFit="1" customWidth="1"/>
    <col min="4365" max="4365" width="7.28515625" bestFit="1" customWidth="1"/>
    <col min="4609" max="4609" width="29.85546875" bestFit="1" customWidth="1"/>
    <col min="4610" max="4620" width="6.5703125" bestFit="1" customWidth="1"/>
    <col min="4621" max="4621" width="7.28515625" bestFit="1" customWidth="1"/>
    <col min="4865" max="4865" width="29.85546875" bestFit="1" customWidth="1"/>
    <col min="4866" max="4876" width="6.5703125" bestFit="1" customWidth="1"/>
    <col min="4877" max="4877" width="7.28515625" bestFit="1" customWidth="1"/>
    <col min="5121" max="5121" width="29.85546875" bestFit="1" customWidth="1"/>
    <col min="5122" max="5132" width="6.5703125" bestFit="1" customWidth="1"/>
    <col min="5133" max="5133" width="7.28515625" bestFit="1" customWidth="1"/>
    <col min="5377" max="5377" width="29.85546875" bestFit="1" customWidth="1"/>
    <col min="5378" max="5388" width="6.5703125" bestFit="1" customWidth="1"/>
    <col min="5389" max="5389" width="7.28515625" bestFit="1" customWidth="1"/>
    <col min="5633" max="5633" width="29.85546875" bestFit="1" customWidth="1"/>
    <col min="5634" max="5644" width="6.5703125" bestFit="1" customWidth="1"/>
    <col min="5645" max="5645" width="7.28515625" bestFit="1" customWidth="1"/>
    <col min="5889" max="5889" width="29.85546875" bestFit="1" customWidth="1"/>
    <col min="5890" max="5900" width="6.5703125" bestFit="1" customWidth="1"/>
    <col min="5901" max="5901" width="7.28515625" bestFit="1" customWidth="1"/>
    <col min="6145" max="6145" width="29.85546875" bestFit="1" customWidth="1"/>
    <col min="6146" max="6156" width="6.5703125" bestFit="1" customWidth="1"/>
    <col min="6157" max="6157" width="7.28515625" bestFit="1" customWidth="1"/>
    <col min="6401" max="6401" width="29.85546875" bestFit="1" customWidth="1"/>
    <col min="6402" max="6412" width="6.5703125" bestFit="1" customWidth="1"/>
    <col min="6413" max="6413" width="7.28515625" bestFit="1" customWidth="1"/>
    <col min="6657" max="6657" width="29.85546875" bestFit="1" customWidth="1"/>
    <col min="6658" max="6668" width="6.5703125" bestFit="1" customWidth="1"/>
    <col min="6669" max="6669" width="7.28515625" bestFit="1" customWidth="1"/>
    <col min="6913" max="6913" width="29.85546875" bestFit="1" customWidth="1"/>
    <col min="6914" max="6924" width="6.5703125" bestFit="1" customWidth="1"/>
    <col min="6925" max="6925" width="7.28515625" bestFit="1" customWidth="1"/>
    <col min="7169" max="7169" width="29.85546875" bestFit="1" customWidth="1"/>
    <col min="7170" max="7180" width="6.5703125" bestFit="1" customWidth="1"/>
    <col min="7181" max="7181" width="7.28515625" bestFit="1" customWidth="1"/>
    <col min="7425" max="7425" width="29.85546875" bestFit="1" customWidth="1"/>
    <col min="7426" max="7436" width="6.5703125" bestFit="1" customWidth="1"/>
    <col min="7437" max="7437" width="7.28515625" bestFit="1" customWidth="1"/>
    <col min="7681" max="7681" width="29.85546875" bestFit="1" customWidth="1"/>
    <col min="7682" max="7692" width="6.5703125" bestFit="1" customWidth="1"/>
    <col min="7693" max="7693" width="7.28515625" bestFit="1" customWidth="1"/>
    <col min="7937" max="7937" width="29.85546875" bestFit="1" customWidth="1"/>
    <col min="7938" max="7948" width="6.5703125" bestFit="1" customWidth="1"/>
    <col min="7949" max="7949" width="7.28515625" bestFit="1" customWidth="1"/>
    <col min="8193" max="8193" width="29.85546875" bestFit="1" customWidth="1"/>
    <col min="8194" max="8204" width="6.5703125" bestFit="1" customWidth="1"/>
    <col min="8205" max="8205" width="7.28515625" bestFit="1" customWidth="1"/>
    <col min="8449" max="8449" width="29.85546875" bestFit="1" customWidth="1"/>
    <col min="8450" max="8460" width="6.5703125" bestFit="1" customWidth="1"/>
    <col min="8461" max="8461" width="7.28515625" bestFit="1" customWidth="1"/>
    <col min="8705" max="8705" width="29.85546875" bestFit="1" customWidth="1"/>
    <col min="8706" max="8716" width="6.5703125" bestFit="1" customWidth="1"/>
    <col min="8717" max="8717" width="7.28515625" bestFit="1" customWidth="1"/>
    <col min="8961" max="8961" width="29.85546875" bestFit="1" customWidth="1"/>
    <col min="8962" max="8972" width="6.5703125" bestFit="1" customWidth="1"/>
    <col min="8973" max="8973" width="7.28515625" bestFit="1" customWidth="1"/>
    <col min="9217" max="9217" width="29.85546875" bestFit="1" customWidth="1"/>
    <col min="9218" max="9228" width="6.5703125" bestFit="1" customWidth="1"/>
    <col min="9229" max="9229" width="7.28515625" bestFit="1" customWidth="1"/>
    <col min="9473" max="9473" width="29.85546875" bestFit="1" customWidth="1"/>
    <col min="9474" max="9484" width="6.5703125" bestFit="1" customWidth="1"/>
    <col min="9485" max="9485" width="7.28515625" bestFit="1" customWidth="1"/>
    <col min="9729" max="9729" width="29.85546875" bestFit="1" customWidth="1"/>
    <col min="9730" max="9740" width="6.5703125" bestFit="1" customWidth="1"/>
    <col min="9741" max="9741" width="7.28515625" bestFit="1" customWidth="1"/>
    <col min="9985" max="9985" width="29.85546875" bestFit="1" customWidth="1"/>
    <col min="9986" max="9996" width="6.5703125" bestFit="1" customWidth="1"/>
    <col min="9997" max="9997" width="7.28515625" bestFit="1" customWidth="1"/>
    <col min="10241" max="10241" width="29.85546875" bestFit="1" customWidth="1"/>
    <col min="10242" max="10252" width="6.5703125" bestFit="1" customWidth="1"/>
    <col min="10253" max="10253" width="7.28515625" bestFit="1" customWidth="1"/>
    <col min="10497" max="10497" width="29.85546875" bestFit="1" customWidth="1"/>
    <col min="10498" max="10508" width="6.5703125" bestFit="1" customWidth="1"/>
    <col min="10509" max="10509" width="7.28515625" bestFit="1" customWidth="1"/>
    <col min="10753" max="10753" width="29.85546875" bestFit="1" customWidth="1"/>
    <col min="10754" max="10764" width="6.5703125" bestFit="1" customWidth="1"/>
    <col min="10765" max="10765" width="7.28515625" bestFit="1" customWidth="1"/>
    <col min="11009" max="11009" width="29.85546875" bestFit="1" customWidth="1"/>
    <col min="11010" max="11020" width="6.5703125" bestFit="1" customWidth="1"/>
    <col min="11021" max="11021" width="7.28515625" bestFit="1" customWidth="1"/>
    <col min="11265" max="11265" width="29.85546875" bestFit="1" customWidth="1"/>
    <col min="11266" max="11276" width="6.5703125" bestFit="1" customWidth="1"/>
    <col min="11277" max="11277" width="7.28515625" bestFit="1" customWidth="1"/>
    <col min="11521" max="11521" width="29.85546875" bestFit="1" customWidth="1"/>
    <col min="11522" max="11532" width="6.5703125" bestFit="1" customWidth="1"/>
    <col min="11533" max="11533" width="7.28515625" bestFit="1" customWidth="1"/>
    <col min="11777" max="11777" width="29.85546875" bestFit="1" customWidth="1"/>
    <col min="11778" max="11788" width="6.5703125" bestFit="1" customWidth="1"/>
    <col min="11789" max="11789" width="7.28515625" bestFit="1" customWidth="1"/>
    <col min="12033" max="12033" width="29.85546875" bestFit="1" customWidth="1"/>
    <col min="12034" max="12044" width="6.5703125" bestFit="1" customWidth="1"/>
    <col min="12045" max="12045" width="7.28515625" bestFit="1" customWidth="1"/>
    <col min="12289" max="12289" width="29.85546875" bestFit="1" customWidth="1"/>
    <col min="12290" max="12300" width="6.5703125" bestFit="1" customWidth="1"/>
    <col min="12301" max="12301" width="7.28515625" bestFit="1" customWidth="1"/>
    <col min="12545" max="12545" width="29.85546875" bestFit="1" customWidth="1"/>
    <col min="12546" max="12556" width="6.5703125" bestFit="1" customWidth="1"/>
    <col min="12557" max="12557" width="7.28515625" bestFit="1" customWidth="1"/>
    <col min="12801" max="12801" width="29.85546875" bestFit="1" customWidth="1"/>
    <col min="12802" max="12812" width="6.5703125" bestFit="1" customWidth="1"/>
    <col min="12813" max="12813" width="7.28515625" bestFit="1" customWidth="1"/>
    <col min="13057" max="13057" width="29.85546875" bestFit="1" customWidth="1"/>
    <col min="13058" max="13068" width="6.5703125" bestFit="1" customWidth="1"/>
    <col min="13069" max="13069" width="7.28515625" bestFit="1" customWidth="1"/>
    <col min="13313" max="13313" width="29.85546875" bestFit="1" customWidth="1"/>
    <col min="13314" max="13324" width="6.5703125" bestFit="1" customWidth="1"/>
    <col min="13325" max="13325" width="7.28515625" bestFit="1" customWidth="1"/>
    <col min="13569" max="13569" width="29.85546875" bestFit="1" customWidth="1"/>
    <col min="13570" max="13580" width="6.5703125" bestFit="1" customWidth="1"/>
    <col min="13581" max="13581" width="7.28515625" bestFit="1" customWidth="1"/>
    <col min="13825" max="13825" width="29.85546875" bestFit="1" customWidth="1"/>
    <col min="13826" max="13836" width="6.5703125" bestFit="1" customWidth="1"/>
    <col min="13837" max="13837" width="7.28515625" bestFit="1" customWidth="1"/>
    <col min="14081" max="14081" width="29.85546875" bestFit="1" customWidth="1"/>
    <col min="14082" max="14092" width="6.5703125" bestFit="1" customWidth="1"/>
    <col min="14093" max="14093" width="7.28515625" bestFit="1" customWidth="1"/>
    <col min="14337" max="14337" width="29.85546875" bestFit="1" customWidth="1"/>
    <col min="14338" max="14348" width="6.5703125" bestFit="1" customWidth="1"/>
    <col min="14349" max="14349" width="7.28515625" bestFit="1" customWidth="1"/>
    <col min="14593" max="14593" width="29.85546875" bestFit="1" customWidth="1"/>
    <col min="14594" max="14604" width="6.5703125" bestFit="1" customWidth="1"/>
    <col min="14605" max="14605" width="7.28515625" bestFit="1" customWidth="1"/>
    <col min="14849" max="14849" width="29.85546875" bestFit="1" customWidth="1"/>
    <col min="14850" max="14860" width="6.5703125" bestFit="1" customWidth="1"/>
    <col min="14861" max="14861" width="7.28515625" bestFit="1" customWidth="1"/>
    <col min="15105" max="15105" width="29.85546875" bestFit="1" customWidth="1"/>
    <col min="15106" max="15116" width="6.5703125" bestFit="1" customWidth="1"/>
    <col min="15117" max="15117" width="7.28515625" bestFit="1" customWidth="1"/>
    <col min="15361" max="15361" width="29.85546875" bestFit="1" customWidth="1"/>
    <col min="15362" max="15372" width="6.5703125" bestFit="1" customWidth="1"/>
    <col min="15373" max="15373" width="7.28515625" bestFit="1" customWidth="1"/>
    <col min="15617" max="15617" width="29.85546875" bestFit="1" customWidth="1"/>
    <col min="15618" max="15628" width="6.5703125" bestFit="1" customWidth="1"/>
    <col min="15629" max="15629" width="7.28515625" bestFit="1" customWidth="1"/>
    <col min="15873" max="15873" width="29.85546875" bestFit="1" customWidth="1"/>
    <col min="15874" max="15884" width="6.5703125" bestFit="1" customWidth="1"/>
    <col min="15885" max="15885" width="7.28515625" bestFit="1" customWidth="1"/>
    <col min="16129" max="16129" width="29.85546875" bestFit="1" customWidth="1"/>
    <col min="16130" max="16140" width="6.5703125" bestFit="1" customWidth="1"/>
    <col min="16141" max="16141" width="7.28515625" bestFit="1" customWidth="1"/>
  </cols>
  <sheetData>
    <row r="1" spans="1:17" x14ac:dyDescent="0.25">
      <c r="A1" s="87" t="s">
        <v>438</v>
      </c>
      <c r="B1" s="87"/>
    </row>
    <row r="2" spans="1:17" ht="26.25" x14ac:dyDescent="0.25">
      <c r="A2" s="304" t="s">
        <v>439</v>
      </c>
      <c r="B2" s="305" t="s">
        <v>24</v>
      </c>
      <c r="C2" s="305" t="s">
        <v>558</v>
      </c>
      <c r="D2" s="305" t="s">
        <v>559</v>
      </c>
      <c r="E2" s="305" t="s">
        <v>15</v>
      </c>
      <c r="F2" s="305" t="s">
        <v>559</v>
      </c>
      <c r="G2" s="305" t="s">
        <v>24</v>
      </c>
      <c r="H2" s="305" t="s">
        <v>24</v>
      </c>
      <c r="I2" s="305" t="s">
        <v>15</v>
      </c>
      <c r="J2" s="305" t="s">
        <v>19</v>
      </c>
      <c r="K2" s="305" t="s">
        <v>560</v>
      </c>
      <c r="L2" s="305" t="s">
        <v>561</v>
      </c>
      <c r="M2" s="305" t="s">
        <v>20</v>
      </c>
      <c r="N2" s="345" t="s">
        <v>562</v>
      </c>
      <c r="O2" s="306" t="s">
        <v>0</v>
      </c>
    </row>
    <row r="3" spans="1:17" x14ac:dyDescent="0.25">
      <c r="A3" s="3" t="s">
        <v>440</v>
      </c>
      <c r="B3" s="16">
        <v>0</v>
      </c>
      <c r="C3" s="16">
        <v>0</v>
      </c>
      <c r="D3" s="16">
        <v>0</v>
      </c>
      <c r="E3" s="16">
        <v>10.9</v>
      </c>
      <c r="F3" s="16">
        <v>33.6</v>
      </c>
      <c r="G3" s="16">
        <v>32</v>
      </c>
      <c r="H3" s="16">
        <v>0</v>
      </c>
      <c r="I3" s="16">
        <v>3.2</v>
      </c>
      <c r="J3" s="16">
        <v>0</v>
      </c>
      <c r="K3" s="16">
        <v>0</v>
      </c>
      <c r="L3" s="16">
        <v>0</v>
      </c>
      <c r="M3" s="16">
        <v>0</v>
      </c>
      <c r="N3" s="3"/>
      <c r="O3" s="3"/>
      <c r="Q3" s="10">
        <v>1</v>
      </c>
    </row>
    <row r="4" spans="1:17" x14ac:dyDescent="0.25">
      <c r="A4" s="3" t="s">
        <v>493</v>
      </c>
      <c r="B4" s="16">
        <v>0</v>
      </c>
      <c r="C4" s="16">
        <v>0</v>
      </c>
      <c r="D4" s="16">
        <v>0</v>
      </c>
      <c r="E4" s="16">
        <v>0</v>
      </c>
      <c r="F4" s="16">
        <v>0</v>
      </c>
      <c r="G4" s="16">
        <v>0</v>
      </c>
      <c r="H4" s="16">
        <v>0</v>
      </c>
      <c r="I4" s="16">
        <v>0</v>
      </c>
      <c r="J4" s="16">
        <v>63.8</v>
      </c>
      <c r="K4" s="16">
        <v>112.6</v>
      </c>
      <c r="L4" s="16">
        <v>9.5</v>
      </c>
      <c r="M4" s="16">
        <v>0</v>
      </c>
      <c r="N4" s="3"/>
      <c r="O4" s="3"/>
      <c r="Q4" s="10">
        <v>2</v>
      </c>
    </row>
    <row r="5" spans="1:17" x14ac:dyDescent="0.25">
      <c r="A5" s="3" t="s">
        <v>447</v>
      </c>
      <c r="B5" s="16">
        <v>0</v>
      </c>
      <c r="C5" s="16">
        <v>0</v>
      </c>
      <c r="D5" s="16">
        <v>0</v>
      </c>
      <c r="E5" s="16">
        <v>0</v>
      </c>
      <c r="F5" s="16">
        <v>0</v>
      </c>
      <c r="G5" s="16">
        <v>0</v>
      </c>
      <c r="H5" s="16">
        <v>0</v>
      </c>
      <c r="I5" s="16">
        <v>3</v>
      </c>
      <c r="J5" s="16">
        <v>58.7</v>
      </c>
      <c r="K5" s="16">
        <v>120.4</v>
      </c>
      <c r="L5" s="16">
        <v>107.1</v>
      </c>
      <c r="M5" s="16">
        <v>32.4</v>
      </c>
      <c r="N5" s="3"/>
      <c r="O5" s="3"/>
      <c r="Q5" s="10">
        <v>3</v>
      </c>
    </row>
    <row r="6" spans="1:17" x14ac:dyDescent="0.25">
      <c r="A6" s="14" t="s">
        <v>496</v>
      </c>
      <c r="B6" s="16">
        <v>0</v>
      </c>
      <c r="C6" s="16">
        <v>0</v>
      </c>
      <c r="D6" s="16">
        <v>0</v>
      </c>
      <c r="E6" s="16">
        <v>0</v>
      </c>
      <c r="F6" s="16">
        <v>0</v>
      </c>
      <c r="G6" s="16">
        <v>0</v>
      </c>
      <c r="H6" s="16">
        <v>0</v>
      </c>
      <c r="I6" s="16">
        <v>8.1</v>
      </c>
      <c r="J6" s="16">
        <v>52.8</v>
      </c>
      <c r="K6" s="16">
        <v>14.5</v>
      </c>
      <c r="L6" s="16">
        <v>0</v>
      </c>
      <c r="M6" s="16">
        <v>0</v>
      </c>
      <c r="N6" s="3"/>
      <c r="O6" s="3"/>
      <c r="Q6" s="10">
        <v>4</v>
      </c>
    </row>
    <row r="7" spans="1:17" x14ac:dyDescent="0.25">
      <c r="A7" s="14" t="s">
        <v>495</v>
      </c>
      <c r="B7" s="16">
        <v>0</v>
      </c>
      <c r="C7" s="16">
        <v>0</v>
      </c>
      <c r="D7" s="16">
        <v>0</v>
      </c>
      <c r="E7" s="16">
        <v>0</v>
      </c>
      <c r="F7" s="16">
        <v>0</v>
      </c>
      <c r="G7" s="16">
        <v>1.2</v>
      </c>
      <c r="H7" s="16">
        <v>0</v>
      </c>
      <c r="I7" s="16">
        <v>8.4</v>
      </c>
      <c r="J7" s="16">
        <v>70.2</v>
      </c>
      <c r="K7" s="16">
        <v>75.599999999999994</v>
      </c>
      <c r="L7" s="16">
        <v>0</v>
      </c>
      <c r="M7" s="16">
        <v>0</v>
      </c>
      <c r="N7" s="3"/>
      <c r="O7" s="3"/>
      <c r="Q7" s="10">
        <v>5</v>
      </c>
    </row>
    <row r="8" spans="1:17" x14ac:dyDescent="0.25">
      <c r="A8" s="3" t="s">
        <v>442</v>
      </c>
      <c r="B8" s="16">
        <v>0</v>
      </c>
      <c r="C8" s="16">
        <v>0</v>
      </c>
      <c r="D8" s="16">
        <v>0</v>
      </c>
      <c r="E8" s="16">
        <v>0</v>
      </c>
      <c r="F8" s="16">
        <v>0</v>
      </c>
      <c r="G8" s="16">
        <v>0</v>
      </c>
      <c r="H8" s="16">
        <v>0</v>
      </c>
      <c r="I8" s="16">
        <v>4.5999999999999996</v>
      </c>
      <c r="J8" s="16">
        <v>55.8</v>
      </c>
      <c r="K8" s="16">
        <v>6.9</v>
      </c>
      <c r="L8" s="16">
        <v>0</v>
      </c>
      <c r="M8" s="16">
        <v>0</v>
      </c>
      <c r="N8" s="3"/>
      <c r="O8" s="3"/>
      <c r="Q8" s="10">
        <v>6</v>
      </c>
    </row>
    <row r="9" spans="1:17" x14ac:dyDescent="0.25">
      <c r="A9" s="3" t="s">
        <v>444</v>
      </c>
      <c r="B9" s="16">
        <v>91.8</v>
      </c>
      <c r="C9" s="16">
        <v>107.4</v>
      </c>
      <c r="D9" s="16">
        <v>69.2</v>
      </c>
      <c r="E9" s="16">
        <v>0</v>
      </c>
      <c r="F9" s="16">
        <v>0</v>
      </c>
      <c r="G9" s="16">
        <v>0</v>
      </c>
      <c r="H9" s="16">
        <v>0</v>
      </c>
      <c r="I9" s="16">
        <v>0</v>
      </c>
      <c r="J9" s="16">
        <v>0</v>
      </c>
      <c r="K9" s="16">
        <v>24.4</v>
      </c>
      <c r="L9" s="16">
        <v>72</v>
      </c>
      <c r="M9" s="16">
        <v>87.3</v>
      </c>
      <c r="N9" s="3"/>
      <c r="O9" s="3"/>
      <c r="Q9" s="10">
        <v>7</v>
      </c>
    </row>
    <row r="10" spans="1:17" x14ac:dyDescent="0.25">
      <c r="A10" s="3" t="s">
        <v>446</v>
      </c>
      <c r="B10" s="16">
        <v>137.5</v>
      </c>
      <c r="C10" s="16">
        <v>131.1</v>
      </c>
      <c r="D10" s="16">
        <v>97.2</v>
      </c>
      <c r="E10" s="16">
        <v>0</v>
      </c>
      <c r="F10" s="16">
        <v>0</v>
      </c>
      <c r="G10" s="16">
        <v>0</v>
      </c>
      <c r="H10" s="16">
        <v>0</v>
      </c>
      <c r="I10" s="16">
        <v>0</v>
      </c>
      <c r="J10" s="16">
        <v>0</v>
      </c>
      <c r="K10" s="16">
        <v>0</v>
      </c>
      <c r="L10" s="16">
        <v>33.6</v>
      </c>
      <c r="M10" s="16">
        <v>83</v>
      </c>
      <c r="N10" s="3"/>
      <c r="O10" s="3"/>
      <c r="Q10" s="10">
        <v>8</v>
      </c>
    </row>
    <row r="11" spans="1:17" x14ac:dyDescent="0.25">
      <c r="A11" s="3" t="s">
        <v>443</v>
      </c>
      <c r="B11" s="16">
        <v>88.6</v>
      </c>
      <c r="C11" s="16">
        <v>86.8</v>
      </c>
      <c r="D11" s="16">
        <v>83.3</v>
      </c>
      <c r="E11" s="16">
        <v>0</v>
      </c>
      <c r="F11" s="16">
        <v>0</v>
      </c>
      <c r="G11" s="16">
        <v>0</v>
      </c>
      <c r="H11" s="16">
        <v>0</v>
      </c>
      <c r="I11" s="16">
        <v>0</v>
      </c>
      <c r="J11" s="16">
        <v>0</v>
      </c>
      <c r="K11" s="16">
        <v>0</v>
      </c>
      <c r="L11" s="16">
        <v>50.4</v>
      </c>
      <c r="M11" s="16">
        <v>76.900000000000006</v>
      </c>
      <c r="N11" s="3"/>
      <c r="O11" s="3"/>
      <c r="Q11" s="10">
        <v>9</v>
      </c>
    </row>
    <row r="12" spans="1:17" x14ac:dyDescent="0.25">
      <c r="A12" s="27" t="s">
        <v>445</v>
      </c>
      <c r="B12" s="16">
        <v>112.3</v>
      </c>
      <c r="C12" s="16">
        <v>126</v>
      </c>
      <c r="D12" s="16">
        <v>99.1</v>
      </c>
      <c r="E12" s="16">
        <v>0</v>
      </c>
      <c r="F12" s="16">
        <v>0</v>
      </c>
      <c r="G12" s="16">
        <v>0</v>
      </c>
      <c r="H12" s="16">
        <v>0</v>
      </c>
      <c r="I12" s="16">
        <v>0</v>
      </c>
      <c r="J12" s="16">
        <v>0</v>
      </c>
      <c r="K12" s="16">
        <v>0</v>
      </c>
      <c r="L12" s="16">
        <v>33.6</v>
      </c>
      <c r="M12" s="16">
        <v>62.2</v>
      </c>
      <c r="N12" s="3"/>
      <c r="O12" s="3"/>
      <c r="Q12" s="10">
        <v>10</v>
      </c>
    </row>
    <row r="13" spans="1:17" x14ac:dyDescent="0.25">
      <c r="A13" s="3" t="s">
        <v>494</v>
      </c>
      <c r="B13" s="16">
        <v>124.6</v>
      </c>
      <c r="C13" s="16">
        <v>117.6</v>
      </c>
      <c r="D13" s="16">
        <v>29.6</v>
      </c>
      <c r="E13" s="16">
        <v>0</v>
      </c>
      <c r="F13" s="16">
        <v>0</v>
      </c>
      <c r="G13" s="16">
        <v>0</v>
      </c>
      <c r="H13" s="16">
        <v>0</v>
      </c>
      <c r="I13" s="16">
        <v>0</v>
      </c>
      <c r="J13" s="16">
        <v>0</v>
      </c>
      <c r="K13" s="16">
        <v>19.399999999999999</v>
      </c>
      <c r="L13" s="16">
        <v>52.3</v>
      </c>
      <c r="M13" s="16">
        <v>97.7</v>
      </c>
      <c r="N13" s="3"/>
      <c r="O13" s="3"/>
      <c r="Q13" s="10">
        <v>11</v>
      </c>
    </row>
    <row r="14" spans="1:17" x14ac:dyDescent="0.25">
      <c r="A14" s="3" t="s">
        <v>448</v>
      </c>
      <c r="B14" s="16">
        <v>129.69999999999999</v>
      </c>
      <c r="C14" s="16">
        <v>66.7</v>
      </c>
      <c r="D14" s="16">
        <v>0</v>
      </c>
      <c r="E14" s="16">
        <v>0</v>
      </c>
      <c r="F14" s="16">
        <v>0</v>
      </c>
      <c r="G14" s="16">
        <v>0</v>
      </c>
      <c r="H14" s="16">
        <v>0</v>
      </c>
      <c r="I14" s="16">
        <v>0</v>
      </c>
      <c r="J14" s="16">
        <v>0</v>
      </c>
      <c r="K14" s="16">
        <v>19.399999999999999</v>
      </c>
      <c r="L14" s="16">
        <v>68.2</v>
      </c>
      <c r="M14" s="16">
        <v>122.5</v>
      </c>
      <c r="N14" s="3"/>
      <c r="O14" s="3"/>
      <c r="Q14" s="10">
        <v>12</v>
      </c>
    </row>
    <row r="15" spans="1:17" x14ac:dyDescent="0.25">
      <c r="A15" s="3" t="s">
        <v>441</v>
      </c>
      <c r="B15" s="16">
        <v>131.19999999999999</v>
      </c>
      <c r="C15" s="16">
        <v>124.7</v>
      </c>
      <c r="D15" s="16">
        <v>71.5</v>
      </c>
      <c r="E15" s="16">
        <v>0</v>
      </c>
      <c r="F15" s="16">
        <v>0</v>
      </c>
      <c r="G15" s="16">
        <v>0</v>
      </c>
      <c r="H15" s="16">
        <v>0</v>
      </c>
      <c r="I15" s="16">
        <v>0</v>
      </c>
      <c r="J15" s="16">
        <v>0</v>
      </c>
      <c r="K15" s="16">
        <v>19.399999999999999</v>
      </c>
      <c r="L15" s="16">
        <v>52.7</v>
      </c>
      <c r="M15" s="16">
        <v>102</v>
      </c>
      <c r="N15" s="3"/>
      <c r="O15" s="3"/>
      <c r="Q15" s="10">
        <v>13</v>
      </c>
    </row>
    <row r="16" spans="1:17" x14ac:dyDescent="0.25">
      <c r="A16" s="307" t="s">
        <v>449</v>
      </c>
      <c r="B16" s="21">
        <v>31</v>
      </c>
      <c r="C16" s="21">
        <v>28</v>
      </c>
      <c r="D16" s="21">
        <v>31</v>
      </c>
      <c r="E16" s="21">
        <v>30</v>
      </c>
      <c r="F16" s="21">
        <v>31</v>
      </c>
      <c r="G16" s="21">
        <v>30</v>
      </c>
      <c r="H16" s="21">
        <v>31</v>
      </c>
      <c r="I16" s="21">
        <v>30</v>
      </c>
      <c r="J16" s="21">
        <v>31</v>
      </c>
      <c r="K16" s="21">
        <v>31</v>
      </c>
      <c r="L16" s="21">
        <v>30</v>
      </c>
      <c r="M16" s="21">
        <v>31</v>
      </c>
      <c r="N16" s="3"/>
      <c r="O16" s="3"/>
    </row>
    <row r="17" spans="1:15" x14ac:dyDescent="0.25">
      <c r="A17" s="3" t="s">
        <v>450</v>
      </c>
      <c r="B17" s="308"/>
      <c r="C17" s="303"/>
      <c r="D17" s="21"/>
      <c r="E17" s="21"/>
      <c r="F17" s="21"/>
      <c r="G17" s="21"/>
      <c r="H17" s="21"/>
      <c r="I17" s="21"/>
      <c r="J17" s="21"/>
      <c r="K17" s="21"/>
      <c r="L17" s="21"/>
      <c r="M17" s="21"/>
      <c r="N17" s="21"/>
      <c r="O17" s="21"/>
    </row>
    <row r="18" spans="1:15" x14ac:dyDescent="0.25">
      <c r="A18" s="309" t="s">
        <v>451</v>
      </c>
      <c r="B18" s="16">
        <v>1.8</v>
      </c>
      <c r="C18" s="16">
        <v>2</v>
      </c>
      <c r="D18" s="16">
        <v>1.1000000000000001</v>
      </c>
      <c r="E18" s="16">
        <v>0</v>
      </c>
      <c r="F18" s="16">
        <v>0.1</v>
      </c>
      <c r="G18" s="16">
        <v>0.1</v>
      </c>
      <c r="H18" s="16">
        <v>0</v>
      </c>
      <c r="I18" s="16">
        <v>0</v>
      </c>
      <c r="J18" s="16">
        <v>0.9</v>
      </c>
      <c r="K18" s="16">
        <v>1.6</v>
      </c>
      <c r="L18" s="16">
        <v>1.3</v>
      </c>
      <c r="M18" s="16">
        <v>1.5</v>
      </c>
      <c r="N18" s="3"/>
      <c r="O18" s="3"/>
    </row>
    <row r="19" spans="1:15" x14ac:dyDescent="0.25">
      <c r="A19" s="310" t="s">
        <v>452</v>
      </c>
      <c r="B19" s="16">
        <v>57.3</v>
      </c>
      <c r="C19" s="16">
        <v>54.9</v>
      </c>
      <c r="D19" s="16">
        <v>33.299999999999997</v>
      </c>
      <c r="E19" s="16">
        <v>0.5</v>
      </c>
      <c r="F19" s="16">
        <v>1.7</v>
      </c>
      <c r="G19" s="16">
        <v>1.7</v>
      </c>
      <c r="H19" s="16">
        <v>0</v>
      </c>
      <c r="I19" s="16">
        <v>1.3</v>
      </c>
      <c r="J19" s="16">
        <v>27.9</v>
      </c>
      <c r="K19" s="16">
        <v>48.6</v>
      </c>
      <c r="L19" s="16">
        <v>38.200000000000003</v>
      </c>
      <c r="M19" s="16">
        <v>47.1</v>
      </c>
      <c r="N19" s="3"/>
      <c r="O19" s="3"/>
    </row>
    <row r="20" spans="1:15" x14ac:dyDescent="0.25">
      <c r="A20" s="310" t="s">
        <v>453</v>
      </c>
      <c r="B20" s="16">
        <v>0.21</v>
      </c>
      <c r="C20" s="16">
        <v>0.23</v>
      </c>
      <c r="D20" s="16">
        <v>0.12</v>
      </c>
      <c r="E20" s="16">
        <v>0</v>
      </c>
      <c r="F20" s="16">
        <v>0.01</v>
      </c>
      <c r="G20" s="16">
        <v>0.01</v>
      </c>
      <c r="H20" s="16">
        <v>0</v>
      </c>
      <c r="I20" s="16">
        <v>0</v>
      </c>
      <c r="J20" s="16">
        <v>0.11</v>
      </c>
      <c r="K20" s="16">
        <v>0.18</v>
      </c>
      <c r="L20" s="16">
        <v>0.15</v>
      </c>
      <c r="M20" s="16">
        <v>0.18</v>
      </c>
      <c r="N20" s="3"/>
      <c r="O20" s="3"/>
    </row>
    <row r="21" spans="1:15" x14ac:dyDescent="0.25">
      <c r="A21" s="27" t="s">
        <v>454</v>
      </c>
      <c r="B21" s="16">
        <v>49</v>
      </c>
      <c r="C21" s="16">
        <v>49</v>
      </c>
      <c r="D21" s="16">
        <v>44</v>
      </c>
      <c r="E21" s="16">
        <v>5</v>
      </c>
      <c r="F21" s="16">
        <v>5</v>
      </c>
      <c r="G21" s="16">
        <v>10</v>
      </c>
      <c r="H21" s="16">
        <v>0</v>
      </c>
      <c r="I21" s="16">
        <v>27</v>
      </c>
      <c r="J21" s="16">
        <v>45</v>
      </c>
      <c r="K21" s="16">
        <v>74</v>
      </c>
      <c r="L21" s="16">
        <v>82</v>
      </c>
      <c r="M21" s="16">
        <v>59</v>
      </c>
      <c r="N21" s="3"/>
      <c r="O21" s="3"/>
    </row>
    <row r="22" spans="1:15" x14ac:dyDescent="0.25">
      <c r="A22" s="27" t="s">
        <v>455</v>
      </c>
      <c r="B22" s="427">
        <v>257.49182300000001</v>
      </c>
      <c r="C22" s="428"/>
      <c r="D22" s="428"/>
      <c r="E22" s="428"/>
      <c r="F22" s="428"/>
      <c r="G22" s="428"/>
      <c r="H22" s="428"/>
      <c r="I22" s="428"/>
      <c r="J22" s="428"/>
      <c r="K22" s="428"/>
      <c r="L22" s="428"/>
      <c r="M22" s="428"/>
      <c r="N22" s="429"/>
      <c r="O22" s="3"/>
    </row>
    <row r="23" spans="1:15" x14ac:dyDescent="0.25">
      <c r="A23" s="27" t="s">
        <v>456</v>
      </c>
      <c r="B23" s="16">
        <f>$B$22*B21/100</f>
        <v>126.17099327</v>
      </c>
      <c r="C23" s="16">
        <f t="shared" ref="C23:M23" si="0">$B$22*C21/100</f>
        <v>126.17099327</v>
      </c>
      <c r="D23" s="16">
        <f t="shared" si="0"/>
        <v>113.29640212</v>
      </c>
      <c r="E23" s="16">
        <f t="shared" si="0"/>
        <v>12.874591150000001</v>
      </c>
      <c r="F23" s="16">
        <f t="shared" si="0"/>
        <v>12.874591150000001</v>
      </c>
      <c r="G23" s="16">
        <f t="shared" si="0"/>
        <v>25.749182300000001</v>
      </c>
      <c r="H23" s="16">
        <f t="shared" si="0"/>
        <v>0</v>
      </c>
      <c r="I23" s="16">
        <f t="shared" si="0"/>
        <v>69.522792210000006</v>
      </c>
      <c r="J23" s="16">
        <f t="shared" si="0"/>
        <v>115.87132035</v>
      </c>
      <c r="K23" s="16">
        <f t="shared" si="0"/>
        <v>190.54394902000001</v>
      </c>
      <c r="L23" s="16">
        <f t="shared" si="0"/>
        <v>211.14329486000003</v>
      </c>
      <c r="M23" s="16">
        <f t="shared" si="0"/>
        <v>151.92017557</v>
      </c>
      <c r="N23" s="3"/>
      <c r="O23" s="3"/>
    </row>
    <row r="24" spans="1:15" ht="15" customHeight="1" x14ac:dyDescent="0.25">
      <c r="A24" s="311" t="s">
        <v>497</v>
      </c>
      <c r="B24" s="120">
        <v>0.44</v>
      </c>
      <c r="C24" s="120">
        <v>0.46</v>
      </c>
      <c r="D24" s="120">
        <v>0.28000000000000003</v>
      </c>
      <c r="E24" s="312">
        <v>0.04</v>
      </c>
      <c r="F24" s="312">
        <v>0.13</v>
      </c>
      <c r="G24" s="312">
        <v>0.06</v>
      </c>
      <c r="H24" s="312">
        <v>0</v>
      </c>
      <c r="I24" s="312">
        <v>0.02</v>
      </c>
      <c r="J24" s="120">
        <v>0.24</v>
      </c>
      <c r="K24" s="120">
        <v>0.25</v>
      </c>
      <c r="L24" s="120">
        <v>0.18</v>
      </c>
      <c r="M24" s="120">
        <v>0.3</v>
      </c>
      <c r="N24" s="3"/>
      <c r="O24" s="3"/>
    </row>
    <row r="25" spans="1:15" ht="26.25" x14ac:dyDescent="0.25">
      <c r="A25" s="311" t="s">
        <v>501</v>
      </c>
      <c r="B25" s="389">
        <f>B24/0.6</f>
        <v>0.73333333333333339</v>
      </c>
      <c r="C25" s="390">
        <f>C24/0.6</f>
        <v>0.76666666666666672</v>
      </c>
      <c r="D25" s="389">
        <f>D24/0.6</f>
        <v>0.46666666666666673</v>
      </c>
      <c r="E25" s="389">
        <f t="shared" ref="E25:M25" si="1">E24/0.6</f>
        <v>6.6666666666666666E-2</v>
      </c>
      <c r="F25" s="389">
        <f t="shared" si="1"/>
        <v>0.21666666666666667</v>
      </c>
      <c r="G25" s="389">
        <f t="shared" si="1"/>
        <v>0.1</v>
      </c>
      <c r="H25" s="120">
        <f t="shared" si="1"/>
        <v>0</v>
      </c>
      <c r="I25" s="388">
        <f t="shared" si="1"/>
        <v>3.3333333333333333E-2</v>
      </c>
      <c r="J25" s="388">
        <f t="shared" si="1"/>
        <v>0.4</v>
      </c>
      <c r="K25" s="388">
        <f t="shared" si="1"/>
        <v>0.41666666666666669</v>
      </c>
      <c r="L25" s="388">
        <f t="shared" si="1"/>
        <v>0.3</v>
      </c>
      <c r="M25" s="391">
        <f t="shared" si="1"/>
        <v>0.5</v>
      </c>
      <c r="N25" s="3"/>
      <c r="O25" s="3"/>
    </row>
    <row r="26" spans="1:15" x14ac:dyDescent="0.25">
      <c r="A26" s="313" t="s">
        <v>457</v>
      </c>
      <c r="B26" s="120"/>
      <c r="C26" s="120"/>
      <c r="D26" s="120"/>
      <c r="E26" s="312"/>
      <c r="F26" s="312"/>
      <c r="G26" s="312"/>
      <c r="H26" s="312"/>
      <c r="I26" s="312"/>
      <c r="J26" s="120"/>
      <c r="K26" s="120"/>
      <c r="L26" s="120"/>
      <c r="M26" s="120"/>
      <c r="N26" s="3"/>
      <c r="O26" s="3"/>
    </row>
    <row r="27" spans="1:15" x14ac:dyDescent="0.25">
      <c r="A27" s="3" t="s">
        <v>458</v>
      </c>
      <c r="B27" s="312">
        <f>B25*B23</f>
        <v>92.525395064666668</v>
      </c>
      <c r="C27" s="312">
        <f t="shared" ref="C27:M27" si="2">C25*C23</f>
        <v>96.731094840333341</v>
      </c>
      <c r="D27" s="312">
        <f t="shared" si="2"/>
        <v>52.871654322666672</v>
      </c>
      <c r="E27" s="312">
        <f t="shared" si="2"/>
        <v>0.8583060766666667</v>
      </c>
      <c r="F27" s="312">
        <f t="shared" si="2"/>
        <v>2.7894947491666668</v>
      </c>
      <c r="G27" s="312">
        <f t="shared" si="2"/>
        <v>2.5749182300000002</v>
      </c>
      <c r="H27" s="312">
        <f t="shared" si="2"/>
        <v>0</v>
      </c>
      <c r="I27" s="312">
        <f t="shared" si="2"/>
        <v>2.3174264070000001</v>
      </c>
      <c r="J27" s="312">
        <f t="shared" si="2"/>
        <v>46.348528140000006</v>
      </c>
      <c r="K27" s="312">
        <f t="shared" si="2"/>
        <v>79.393312091666672</v>
      </c>
      <c r="L27" s="312">
        <f t="shared" si="2"/>
        <v>63.342988458000008</v>
      </c>
      <c r="M27" s="312">
        <f t="shared" si="2"/>
        <v>75.960087784999999</v>
      </c>
      <c r="N27" s="3"/>
      <c r="O27" s="3"/>
    </row>
    <row r="28" spans="1:15" x14ac:dyDescent="0.25">
      <c r="A28" s="27" t="s">
        <v>500</v>
      </c>
      <c r="B28" s="333">
        <f>B27*0.001</f>
        <v>9.2525395064666671E-2</v>
      </c>
      <c r="C28" s="351">
        <f t="shared" ref="C28:M28" si="3">C27*0.001</f>
        <v>9.6731094840333348E-2</v>
      </c>
      <c r="D28" s="333">
        <f t="shared" si="3"/>
        <v>5.2871654322666675E-2</v>
      </c>
      <c r="E28" s="334">
        <f t="shared" si="3"/>
        <v>8.583060766666667E-4</v>
      </c>
      <c r="F28" s="334">
        <f t="shared" si="3"/>
        <v>2.7894947491666671E-3</v>
      </c>
      <c r="G28" s="334">
        <f t="shared" si="3"/>
        <v>2.5749182300000002E-3</v>
      </c>
      <c r="H28" s="334">
        <f t="shared" si="3"/>
        <v>0</v>
      </c>
      <c r="I28" s="334">
        <f t="shared" si="3"/>
        <v>2.3174264070000001E-3</v>
      </c>
      <c r="J28" s="333">
        <f t="shared" si="3"/>
        <v>4.6348528140000005E-2</v>
      </c>
      <c r="K28" s="333">
        <f t="shared" si="3"/>
        <v>7.9393312091666668E-2</v>
      </c>
      <c r="L28" s="333">
        <f t="shared" si="3"/>
        <v>6.3342988458000016E-2</v>
      </c>
      <c r="M28" s="333">
        <f t="shared" si="3"/>
        <v>7.5960087785000005E-2</v>
      </c>
      <c r="N28" s="3"/>
      <c r="O28" s="3"/>
    </row>
    <row r="29" spans="1:15" x14ac:dyDescent="0.25">
      <c r="A29" s="27" t="s">
        <v>459</v>
      </c>
      <c r="B29" s="13">
        <f t="shared" ref="B29:M29" si="4">B28*B16*24*60*60/1000000</f>
        <v>0.24782001814120327</v>
      </c>
      <c r="C29" s="13">
        <f t="shared" si="4"/>
        <v>0.23401186463773441</v>
      </c>
      <c r="D29" s="13">
        <f t="shared" si="4"/>
        <v>0.14161143893783043</v>
      </c>
      <c r="E29" s="312">
        <f t="shared" si="4"/>
        <v>2.2247293507199999E-3</v>
      </c>
      <c r="F29" s="312">
        <f t="shared" si="4"/>
        <v>7.4713827361680002E-3</v>
      </c>
      <c r="G29" s="312">
        <f t="shared" si="4"/>
        <v>6.6741880521600004E-3</v>
      </c>
      <c r="H29" s="312">
        <f t="shared" si="4"/>
        <v>0</v>
      </c>
      <c r="I29" s="312">
        <f t="shared" si="4"/>
        <v>6.0067692469439994E-3</v>
      </c>
      <c r="J29" s="13">
        <f t="shared" si="4"/>
        <v>0.12413989777017601</v>
      </c>
      <c r="K29" s="13">
        <f t="shared" si="4"/>
        <v>0.21264704710632001</v>
      </c>
      <c r="L29" s="13">
        <f t="shared" si="4"/>
        <v>0.16418502608313604</v>
      </c>
      <c r="M29" s="13">
        <f t="shared" si="4"/>
        <v>0.20345149912334401</v>
      </c>
      <c r="N29" s="316">
        <f>SUM(B29:M29)</f>
        <v>1.3502438611857361</v>
      </c>
      <c r="O29" s="3"/>
    </row>
    <row r="30" spans="1:15" ht="26.25" x14ac:dyDescent="0.25">
      <c r="A30" s="311" t="s">
        <v>498</v>
      </c>
      <c r="B30" s="317">
        <f>B29*1.1</f>
        <v>0.27260201995532363</v>
      </c>
      <c r="C30" s="317">
        <f t="shared" ref="C30:M30" si="5">C29*1.1</f>
        <v>0.25741305110150786</v>
      </c>
      <c r="D30" s="317">
        <f t="shared" si="5"/>
        <v>0.15577258283161349</v>
      </c>
      <c r="E30" s="317">
        <f t="shared" si="5"/>
        <v>2.4472022857920002E-3</v>
      </c>
      <c r="F30" s="317">
        <f t="shared" si="5"/>
        <v>8.2185210097848009E-3</v>
      </c>
      <c r="G30" s="317">
        <f t="shared" si="5"/>
        <v>7.3416068573760014E-3</v>
      </c>
      <c r="H30" s="317">
        <f t="shared" si="5"/>
        <v>0</v>
      </c>
      <c r="I30" s="317">
        <f t="shared" si="5"/>
        <v>6.6074461716384E-3</v>
      </c>
      <c r="J30" s="317">
        <f t="shared" si="5"/>
        <v>0.13655388754719361</v>
      </c>
      <c r="K30" s="317">
        <f t="shared" si="5"/>
        <v>0.23391175181695203</v>
      </c>
      <c r="L30" s="317">
        <f t="shared" si="5"/>
        <v>0.18060352869144966</v>
      </c>
      <c r="M30" s="317">
        <f t="shared" si="5"/>
        <v>0.22379664903567842</v>
      </c>
      <c r="N30" s="407">
        <f>SUM(B30:M30)</f>
        <v>1.4852682473043097</v>
      </c>
      <c r="O30" s="3"/>
    </row>
    <row r="31" spans="1:15" ht="26.25" x14ac:dyDescent="0.25">
      <c r="A31" s="311" t="s">
        <v>460</v>
      </c>
      <c r="B31" s="317">
        <f>Supply!$B$11/1000*B16*24*60*60/1000000</f>
        <v>0.16070400000000001</v>
      </c>
      <c r="C31" s="317">
        <f>Supply!$B$11/1000*C16*24*60*60/1000000</f>
        <v>0.145152</v>
      </c>
      <c r="D31" s="317">
        <f>Supply!$B$11/1000*D16*24*60*60/1000000</f>
        <v>0.16070400000000001</v>
      </c>
      <c r="E31" s="316">
        <f>Supply!$B$11/1000*E16*24*60*60/1000000</f>
        <v>0.15551999999999996</v>
      </c>
      <c r="F31" s="316">
        <f>Supply!$B$11/1000*F16*24*60*60/1000000</f>
        <v>0.16070400000000001</v>
      </c>
      <c r="G31" s="316">
        <f>Supply!$B$11/1000*G16*24*60*60/1000000</f>
        <v>0.15551999999999996</v>
      </c>
      <c r="H31" s="316">
        <f>Supply!$B$11/1000*H16*24*60*60/1000000</f>
        <v>0.16070400000000001</v>
      </c>
      <c r="I31" s="316">
        <f>Supply!$B$11/1000*I16*24*60*60/1000000</f>
        <v>0.15551999999999996</v>
      </c>
      <c r="J31" s="316">
        <f>Supply!$B$11/1000*J16*24*60*60/1000000</f>
        <v>0.16070400000000001</v>
      </c>
      <c r="K31" s="316">
        <f>Supply!$B$11/1000*K16*24*60*60/1000000</f>
        <v>0.16070400000000001</v>
      </c>
      <c r="L31" s="316">
        <f>Supply!$B$11/1000*L16*24*60*60/1000000</f>
        <v>0.15551999999999996</v>
      </c>
      <c r="M31" s="316">
        <f>Supply!$B$11/1000*M16*24*60*60/1000000</f>
        <v>0.16070400000000001</v>
      </c>
      <c r="N31" s="316">
        <f>SUM(B31:M31)</f>
        <v>1.8921599999999996</v>
      </c>
      <c r="O31" s="3"/>
    </row>
    <row r="32" spans="1:15" x14ac:dyDescent="0.25">
      <c r="A32" s="311" t="s">
        <v>461</v>
      </c>
      <c r="B32" s="13">
        <f>SUM(B30:B31)</f>
        <v>0.43330601995532364</v>
      </c>
      <c r="C32" s="13">
        <f t="shared" ref="C32:M32" si="6">SUM(C30:C31)</f>
        <v>0.40256505110150786</v>
      </c>
      <c r="D32" s="13">
        <f t="shared" si="6"/>
        <v>0.31647658283161351</v>
      </c>
      <c r="E32" s="13">
        <f t="shared" si="6"/>
        <v>0.15796720228579197</v>
      </c>
      <c r="F32" s="13">
        <f t="shared" si="6"/>
        <v>0.1689225210097848</v>
      </c>
      <c r="G32" s="13">
        <f t="shared" si="6"/>
        <v>0.16286160685737597</v>
      </c>
      <c r="H32" s="13">
        <f t="shared" si="6"/>
        <v>0.16070400000000001</v>
      </c>
      <c r="I32" s="13">
        <f t="shared" si="6"/>
        <v>0.16212744617163835</v>
      </c>
      <c r="J32" s="13">
        <f t="shared" si="6"/>
        <v>0.29725788754719362</v>
      </c>
      <c r="K32" s="13">
        <f t="shared" si="6"/>
        <v>0.39461575181695208</v>
      </c>
      <c r="L32" s="13">
        <f t="shared" si="6"/>
        <v>0.33612352869144962</v>
      </c>
      <c r="M32" s="314">
        <f t="shared" si="6"/>
        <v>0.38450064903567843</v>
      </c>
      <c r="N32" s="316">
        <f>SUM(N30:N31)</f>
        <v>3.3774282473043096</v>
      </c>
      <c r="O32" s="3"/>
    </row>
    <row r="33" spans="1:16" x14ac:dyDescent="0.25">
      <c r="A33" s="313" t="s">
        <v>533</v>
      </c>
      <c r="B33" s="314"/>
      <c r="C33" s="314"/>
      <c r="D33" s="314"/>
      <c r="E33" s="315"/>
      <c r="F33" s="315"/>
      <c r="G33" s="315"/>
      <c r="H33" s="315"/>
      <c r="I33" s="315"/>
      <c r="J33" s="314"/>
      <c r="K33" s="314"/>
      <c r="L33" s="314"/>
      <c r="M33" s="314"/>
      <c r="N33" s="316"/>
      <c r="O33" s="3"/>
    </row>
    <row r="34" spans="1:16" x14ac:dyDescent="0.25">
      <c r="A34" s="308" t="s">
        <v>462</v>
      </c>
      <c r="B34" s="397">
        <f>Supply!B4</f>
        <v>0.75</v>
      </c>
      <c r="C34" s="13">
        <f>Supply!C4</f>
        <v>0.375</v>
      </c>
      <c r="D34" s="397">
        <f>Supply!D4</f>
        <v>0.21</v>
      </c>
      <c r="E34" s="397">
        <f>Supply!E4</f>
        <v>0.12</v>
      </c>
      <c r="F34" s="13">
        <f>Supply!F4</f>
        <v>0.22641786213335735</v>
      </c>
      <c r="G34" s="13">
        <f>Supply!G4</f>
        <v>0.47893449677110855</v>
      </c>
      <c r="H34" s="13">
        <f>Supply!H4</f>
        <v>0.72703745922594187</v>
      </c>
      <c r="I34" s="13">
        <f>Supply!I4</f>
        <v>0.64852557772736308</v>
      </c>
      <c r="J34" s="13">
        <f>Supply!J4</f>
        <v>0.32426278886368154</v>
      </c>
      <c r="K34" s="13">
        <f>Supply!K4</f>
        <v>0.16213139443184077</v>
      </c>
      <c r="L34" s="13">
        <f>Supply!L4</f>
        <v>8.1065697215920385E-2</v>
      </c>
      <c r="M34" s="13">
        <f>Supply!M4</f>
        <v>4.0532848607960192E-2</v>
      </c>
      <c r="N34" s="6"/>
      <c r="O34" s="3"/>
    </row>
    <row r="35" spans="1:16" x14ac:dyDescent="0.25">
      <c r="A35" s="308" t="s">
        <v>463</v>
      </c>
      <c r="B35" s="13">
        <f>Supply!B5</f>
        <v>6.7499999999999991E-2</v>
      </c>
      <c r="C35" s="354">
        <f>Supply!C5</f>
        <v>3.3749999999999995E-2</v>
      </c>
      <c r="D35" s="13">
        <f>Supply!D5</f>
        <v>3.3749999999999995E-2</v>
      </c>
      <c r="E35" s="13">
        <f>Supply!E5</f>
        <v>3.3749999999999995E-2</v>
      </c>
      <c r="F35" s="13">
        <f>Supply!F5</f>
        <v>0.25083287294624568</v>
      </c>
      <c r="G35" s="13">
        <f>Supply!G5</f>
        <v>0.53057879200098168</v>
      </c>
      <c r="H35" s="13">
        <f>Supply!H5</f>
        <v>0.80543510533533458</v>
      </c>
      <c r="I35" s="13">
        <f>Supply!I5</f>
        <v>0.71845715840504965</v>
      </c>
      <c r="J35" s="13">
        <f>Supply!J5</f>
        <v>0.35922857920252482</v>
      </c>
      <c r="K35" s="13">
        <f>Supply!K5</f>
        <v>0.17961428960126241</v>
      </c>
      <c r="L35" s="13">
        <f>Supply!L5</f>
        <v>8.9807144800631206E-2</v>
      </c>
      <c r="M35" s="13">
        <f>Supply!M5</f>
        <v>4.4903572400315603E-2</v>
      </c>
      <c r="N35" s="3"/>
      <c r="O35" s="3"/>
    </row>
    <row r="36" spans="1:16" x14ac:dyDescent="0.25">
      <c r="A36" s="308" t="s">
        <v>464</v>
      </c>
      <c r="B36" s="13">
        <f>SUM(B34:B35)</f>
        <v>0.8175</v>
      </c>
      <c r="C36" s="13">
        <f t="shared" ref="C36:M36" si="7">SUM(C34:C35)</f>
        <v>0.40875</v>
      </c>
      <c r="D36" s="13">
        <f t="shared" si="7"/>
        <v>0.24374999999999999</v>
      </c>
      <c r="E36" s="13">
        <f t="shared" si="7"/>
        <v>0.15375</v>
      </c>
      <c r="F36" s="13">
        <f t="shared" si="7"/>
        <v>0.47725073507960303</v>
      </c>
      <c r="G36" s="13">
        <f t="shared" si="7"/>
        <v>1.0095132887720903</v>
      </c>
      <c r="H36" s="13">
        <f t="shared" si="7"/>
        <v>1.5324725645612765</v>
      </c>
      <c r="I36" s="13">
        <f t="shared" si="7"/>
        <v>1.3669827361324127</v>
      </c>
      <c r="J36" s="13">
        <f t="shared" si="7"/>
        <v>0.68349136806620636</v>
      </c>
      <c r="K36" s="13">
        <f t="shared" si="7"/>
        <v>0.34174568403310318</v>
      </c>
      <c r="L36" s="13">
        <f t="shared" si="7"/>
        <v>0.17087284201655159</v>
      </c>
      <c r="M36" s="13">
        <f t="shared" si="7"/>
        <v>8.5436421008275795E-2</v>
      </c>
      <c r="N36" s="3"/>
      <c r="O36" s="3"/>
    </row>
    <row r="37" spans="1:16" x14ac:dyDescent="0.25">
      <c r="A37" s="308" t="s">
        <v>534</v>
      </c>
      <c r="B37" s="13">
        <f t="shared" ref="B37:M37" si="8">B36*B16*24*60*60/1000000</f>
        <v>2.1895920000000006</v>
      </c>
      <c r="C37" s="13">
        <f t="shared" si="8"/>
        <v>0.98884799999999995</v>
      </c>
      <c r="D37" s="13">
        <f t="shared" si="8"/>
        <v>0.65286</v>
      </c>
      <c r="E37" s="13">
        <f t="shared" si="8"/>
        <v>0.39851999999999993</v>
      </c>
      <c r="F37" s="13">
        <f t="shared" si="8"/>
        <v>1.278268368837209</v>
      </c>
      <c r="G37" s="13">
        <f t="shared" si="8"/>
        <v>2.6166584444972578</v>
      </c>
      <c r="H37" s="13">
        <f t="shared" si="8"/>
        <v>4.1045745169209233</v>
      </c>
      <c r="I37" s="13">
        <f t="shared" si="8"/>
        <v>3.5432192520552133</v>
      </c>
      <c r="J37" s="13">
        <f t="shared" si="8"/>
        <v>1.8306632802285272</v>
      </c>
      <c r="K37" s="13">
        <f t="shared" si="8"/>
        <v>0.9153316401142636</v>
      </c>
      <c r="L37" s="13">
        <f t="shared" si="8"/>
        <v>0.44290240650690166</v>
      </c>
      <c r="M37" s="13">
        <f t="shared" si="8"/>
        <v>0.2288329100285659</v>
      </c>
      <c r="N37" s="344">
        <f>SUM(B37:M37)</f>
        <v>19.190270819188861</v>
      </c>
      <c r="O37" s="3"/>
    </row>
    <row r="38" spans="1:16" x14ac:dyDescent="0.25">
      <c r="A38" s="335" t="s">
        <v>526</v>
      </c>
      <c r="B38" s="13">
        <f>B37-B32</f>
        <v>1.7562859800446771</v>
      </c>
      <c r="C38" s="13">
        <f t="shared" ref="C38:M38" si="9">C37-C32</f>
        <v>0.58628294889849208</v>
      </c>
      <c r="D38" s="13">
        <f t="shared" si="9"/>
        <v>0.33638341716838649</v>
      </c>
      <c r="E38" s="13">
        <f t="shared" si="9"/>
        <v>0.24055279771420796</v>
      </c>
      <c r="F38" s="13">
        <f t="shared" si="9"/>
        <v>1.1093458478274241</v>
      </c>
      <c r="G38" s="13">
        <f t="shared" si="9"/>
        <v>2.453796837639882</v>
      </c>
      <c r="H38" s="13">
        <f t="shared" si="9"/>
        <v>3.9438705169209234</v>
      </c>
      <c r="I38" s="13">
        <f t="shared" si="9"/>
        <v>3.3810918058835751</v>
      </c>
      <c r="J38" s="13">
        <f t="shared" si="9"/>
        <v>1.5334053926813336</v>
      </c>
      <c r="K38" s="13">
        <f t="shared" si="9"/>
        <v>0.52071588829731152</v>
      </c>
      <c r="L38" s="13">
        <f t="shared" si="9"/>
        <v>0.10677887781545203</v>
      </c>
      <c r="M38" s="13">
        <f t="shared" si="9"/>
        <v>-0.15566773900711253</v>
      </c>
      <c r="N38" s="405">
        <f>N37-N32</f>
        <v>15.812842571884552</v>
      </c>
      <c r="O38" s="3"/>
    </row>
    <row r="39" spans="1:16" ht="25.5" customHeight="1" x14ac:dyDescent="0.25">
      <c r="A39" s="336" t="s">
        <v>499</v>
      </c>
      <c r="B39" s="346">
        <f>IF((B35-B28)&gt;0,0,(B28-B35))</f>
        <v>2.5025395064666681E-2</v>
      </c>
      <c r="C39" s="347">
        <f>IF((C35-C28)&gt;0,0,(C28-C35))</f>
        <v>6.2981094840333346E-2</v>
      </c>
      <c r="D39" s="348">
        <f t="shared" ref="D39:M39" si="10">IF((D35-D28)&gt;0,0,(D28-D35))</f>
        <v>1.912165432266668E-2</v>
      </c>
      <c r="E39" s="348">
        <f t="shared" si="10"/>
        <v>0</v>
      </c>
      <c r="F39" s="348">
        <f t="shared" si="10"/>
        <v>0</v>
      </c>
      <c r="G39" s="348">
        <f t="shared" si="10"/>
        <v>0</v>
      </c>
      <c r="H39" s="348">
        <f t="shared" si="10"/>
        <v>0</v>
      </c>
      <c r="I39" s="348">
        <f t="shared" si="10"/>
        <v>0</v>
      </c>
      <c r="J39" s="348">
        <f t="shared" si="10"/>
        <v>0</v>
      </c>
      <c r="K39" s="348">
        <f t="shared" si="10"/>
        <v>0</v>
      </c>
      <c r="L39" s="348">
        <f t="shared" si="10"/>
        <v>0</v>
      </c>
      <c r="M39" s="348">
        <f t="shared" si="10"/>
        <v>3.1056515384684402E-2</v>
      </c>
      <c r="N39" s="348"/>
      <c r="O39" s="349"/>
    </row>
    <row r="40" spans="1:16" ht="45" x14ac:dyDescent="0.25">
      <c r="A40" s="379" t="s">
        <v>527</v>
      </c>
      <c r="B40" s="378">
        <f t="shared" ref="B40:M40" si="11">B39*B16*24*60*60/1000000</f>
        <v>6.7028018141203224E-2</v>
      </c>
      <c r="C40" s="378">
        <f t="shared" si="11"/>
        <v>0.15236386463773446</v>
      </c>
      <c r="D40" s="378">
        <f t="shared" si="11"/>
        <v>5.121543893783044E-2</v>
      </c>
      <c r="E40" s="378">
        <f t="shared" si="11"/>
        <v>0</v>
      </c>
      <c r="F40" s="378">
        <f t="shared" si="11"/>
        <v>0</v>
      </c>
      <c r="G40" s="378">
        <f t="shared" si="11"/>
        <v>0</v>
      </c>
      <c r="H40" s="378">
        <f t="shared" si="11"/>
        <v>0</v>
      </c>
      <c r="I40" s="378">
        <f t="shared" si="11"/>
        <v>0</v>
      </c>
      <c r="J40" s="378">
        <f t="shared" si="11"/>
        <v>0</v>
      </c>
      <c r="K40" s="378">
        <f t="shared" si="11"/>
        <v>0</v>
      </c>
      <c r="L40" s="378">
        <f t="shared" si="11"/>
        <v>0</v>
      </c>
      <c r="M40" s="378">
        <f t="shared" si="11"/>
        <v>8.3181770806338706E-2</v>
      </c>
      <c r="N40" s="338">
        <f>SUM(B40:M40)</f>
        <v>0.35378909252310681</v>
      </c>
      <c r="O40" s="406">
        <f>N40/N29</f>
        <v>0.26201866395631807</v>
      </c>
      <c r="P40" s="18"/>
    </row>
    <row r="42" spans="1:16" x14ac:dyDescent="0.25">
      <c r="E42" s="2">
        <f>SUM(E34,B35)</f>
        <v>0.1875</v>
      </c>
      <c r="F42" s="408">
        <f>'Design of pump'!B12/CWR!E42</f>
        <v>0.80615801395626685</v>
      </c>
    </row>
  </sheetData>
  <mergeCells count="1">
    <mergeCell ref="B22:N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6"/>
  <sheetViews>
    <sheetView workbookViewId="0">
      <selection activeCell="A26" sqref="A26"/>
    </sheetView>
  </sheetViews>
  <sheetFormatPr defaultRowHeight="12.75" x14ac:dyDescent="0.2"/>
  <cols>
    <col min="1" max="1" width="44.85546875" style="409" customWidth="1"/>
    <col min="2" max="2" width="9.140625" style="410"/>
    <col min="3" max="3" width="9" style="409" customWidth="1"/>
    <col min="4" max="4" width="8.140625" style="409" customWidth="1"/>
    <col min="5" max="13" width="5.5703125" style="409" bestFit="1" customWidth="1"/>
    <col min="14" max="256" width="9.140625" style="409"/>
    <col min="257" max="257" width="44.85546875" style="409" customWidth="1"/>
    <col min="258" max="258" width="9.140625" style="409"/>
    <col min="259" max="259" width="9" style="409" customWidth="1"/>
    <col min="260" max="260" width="8.140625" style="409" customWidth="1"/>
    <col min="261" max="269" width="5.5703125" style="409" bestFit="1" customWidth="1"/>
    <col min="270" max="512" width="9.140625" style="409"/>
    <col min="513" max="513" width="44.85546875" style="409" customWidth="1"/>
    <col min="514" max="514" width="9.140625" style="409"/>
    <col min="515" max="515" width="9" style="409" customWidth="1"/>
    <col min="516" max="516" width="8.140625" style="409" customWidth="1"/>
    <col min="517" max="525" width="5.5703125" style="409" bestFit="1" customWidth="1"/>
    <col min="526" max="768" width="9.140625" style="409"/>
    <col min="769" max="769" width="44.85546875" style="409" customWidth="1"/>
    <col min="770" max="770" width="9.140625" style="409"/>
    <col min="771" max="771" width="9" style="409" customWidth="1"/>
    <col min="772" max="772" width="8.140625" style="409" customWidth="1"/>
    <col min="773" max="781" width="5.5703125" style="409" bestFit="1" customWidth="1"/>
    <col min="782" max="1024" width="9.140625" style="409"/>
    <col min="1025" max="1025" width="44.85546875" style="409" customWidth="1"/>
    <col min="1026" max="1026" width="9.140625" style="409"/>
    <col min="1027" max="1027" width="9" style="409" customWidth="1"/>
    <col min="1028" max="1028" width="8.140625" style="409" customWidth="1"/>
    <col min="1029" max="1037" width="5.5703125" style="409" bestFit="1" customWidth="1"/>
    <col min="1038" max="1280" width="9.140625" style="409"/>
    <col min="1281" max="1281" width="44.85546875" style="409" customWidth="1"/>
    <col min="1282" max="1282" width="9.140625" style="409"/>
    <col min="1283" max="1283" width="9" style="409" customWidth="1"/>
    <col min="1284" max="1284" width="8.140625" style="409" customWidth="1"/>
    <col min="1285" max="1293" width="5.5703125" style="409" bestFit="1" customWidth="1"/>
    <col min="1294" max="1536" width="9.140625" style="409"/>
    <col min="1537" max="1537" width="44.85546875" style="409" customWidth="1"/>
    <col min="1538" max="1538" width="9.140625" style="409"/>
    <col min="1539" max="1539" width="9" style="409" customWidth="1"/>
    <col min="1540" max="1540" width="8.140625" style="409" customWidth="1"/>
    <col min="1541" max="1549" width="5.5703125" style="409" bestFit="1" customWidth="1"/>
    <col min="1550" max="1792" width="9.140625" style="409"/>
    <col min="1793" max="1793" width="44.85546875" style="409" customWidth="1"/>
    <col min="1794" max="1794" width="9.140625" style="409"/>
    <col min="1795" max="1795" width="9" style="409" customWidth="1"/>
    <col min="1796" max="1796" width="8.140625" style="409" customWidth="1"/>
    <col min="1797" max="1805" width="5.5703125" style="409" bestFit="1" customWidth="1"/>
    <col min="1806" max="2048" width="9.140625" style="409"/>
    <col min="2049" max="2049" width="44.85546875" style="409" customWidth="1"/>
    <col min="2050" max="2050" width="9.140625" style="409"/>
    <col min="2051" max="2051" width="9" style="409" customWidth="1"/>
    <col min="2052" max="2052" width="8.140625" style="409" customWidth="1"/>
    <col min="2053" max="2061" width="5.5703125" style="409" bestFit="1" customWidth="1"/>
    <col min="2062" max="2304" width="9.140625" style="409"/>
    <col min="2305" max="2305" width="44.85546875" style="409" customWidth="1"/>
    <col min="2306" max="2306" width="9.140625" style="409"/>
    <col min="2307" max="2307" width="9" style="409" customWidth="1"/>
    <col min="2308" max="2308" width="8.140625" style="409" customWidth="1"/>
    <col min="2309" max="2317" width="5.5703125" style="409" bestFit="1" customWidth="1"/>
    <col min="2318" max="2560" width="9.140625" style="409"/>
    <col min="2561" max="2561" width="44.85546875" style="409" customWidth="1"/>
    <col min="2562" max="2562" width="9.140625" style="409"/>
    <col min="2563" max="2563" width="9" style="409" customWidth="1"/>
    <col min="2564" max="2564" width="8.140625" style="409" customWidth="1"/>
    <col min="2565" max="2573" width="5.5703125" style="409" bestFit="1" customWidth="1"/>
    <col min="2574" max="2816" width="9.140625" style="409"/>
    <col min="2817" max="2817" width="44.85546875" style="409" customWidth="1"/>
    <col min="2818" max="2818" width="9.140625" style="409"/>
    <col min="2819" max="2819" width="9" style="409" customWidth="1"/>
    <col min="2820" max="2820" width="8.140625" style="409" customWidth="1"/>
    <col min="2821" max="2829" width="5.5703125" style="409" bestFit="1" customWidth="1"/>
    <col min="2830" max="3072" width="9.140625" style="409"/>
    <col min="3073" max="3073" width="44.85546875" style="409" customWidth="1"/>
    <col min="3074" max="3074" width="9.140625" style="409"/>
    <col min="3075" max="3075" width="9" style="409" customWidth="1"/>
    <col min="3076" max="3076" width="8.140625" style="409" customWidth="1"/>
    <col min="3077" max="3085" width="5.5703125" style="409" bestFit="1" customWidth="1"/>
    <col min="3086" max="3328" width="9.140625" style="409"/>
    <col min="3329" max="3329" width="44.85546875" style="409" customWidth="1"/>
    <col min="3330" max="3330" width="9.140625" style="409"/>
    <col min="3331" max="3331" width="9" style="409" customWidth="1"/>
    <col min="3332" max="3332" width="8.140625" style="409" customWidth="1"/>
    <col min="3333" max="3341" width="5.5703125" style="409" bestFit="1" customWidth="1"/>
    <col min="3342" max="3584" width="9.140625" style="409"/>
    <col min="3585" max="3585" width="44.85546875" style="409" customWidth="1"/>
    <col min="3586" max="3586" width="9.140625" style="409"/>
    <col min="3587" max="3587" width="9" style="409" customWidth="1"/>
    <col min="3588" max="3588" width="8.140625" style="409" customWidth="1"/>
    <col min="3589" max="3597" width="5.5703125" style="409" bestFit="1" customWidth="1"/>
    <col min="3598" max="3840" width="9.140625" style="409"/>
    <col min="3841" max="3841" width="44.85546875" style="409" customWidth="1"/>
    <col min="3842" max="3842" width="9.140625" style="409"/>
    <col min="3843" max="3843" width="9" style="409" customWidth="1"/>
    <col min="3844" max="3844" width="8.140625" style="409" customWidth="1"/>
    <col min="3845" max="3853" width="5.5703125" style="409" bestFit="1" customWidth="1"/>
    <col min="3854" max="4096" width="9.140625" style="409"/>
    <col min="4097" max="4097" width="44.85546875" style="409" customWidth="1"/>
    <col min="4098" max="4098" width="9.140625" style="409"/>
    <col min="4099" max="4099" width="9" style="409" customWidth="1"/>
    <col min="4100" max="4100" width="8.140625" style="409" customWidth="1"/>
    <col min="4101" max="4109" width="5.5703125" style="409" bestFit="1" customWidth="1"/>
    <col min="4110" max="4352" width="9.140625" style="409"/>
    <col min="4353" max="4353" width="44.85546875" style="409" customWidth="1"/>
    <col min="4354" max="4354" width="9.140625" style="409"/>
    <col min="4355" max="4355" width="9" style="409" customWidth="1"/>
    <col min="4356" max="4356" width="8.140625" style="409" customWidth="1"/>
    <col min="4357" max="4365" width="5.5703125" style="409" bestFit="1" customWidth="1"/>
    <col min="4366" max="4608" width="9.140625" style="409"/>
    <col min="4609" max="4609" width="44.85546875" style="409" customWidth="1"/>
    <col min="4610" max="4610" width="9.140625" style="409"/>
    <col min="4611" max="4611" width="9" style="409" customWidth="1"/>
    <col min="4612" max="4612" width="8.140625" style="409" customWidth="1"/>
    <col min="4613" max="4621" width="5.5703125" style="409" bestFit="1" customWidth="1"/>
    <col min="4622" max="4864" width="9.140625" style="409"/>
    <col min="4865" max="4865" width="44.85546875" style="409" customWidth="1"/>
    <col min="4866" max="4866" width="9.140625" style="409"/>
    <col min="4867" max="4867" width="9" style="409" customWidth="1"/>
    <col min="4868" max="4868" width="8.140625" style="409" customWidth="1"/>
    <col min="4869" max="4877" width="5.5703125" style="409" bestFit="1" customWidth="1"/>
    <col min="4878" max="5120" width="9.140625" style="409"/>
    <col min="5121" max="5121" width="44.85546875" style="409" customWidth="1"/>
    <col min="5122" max="5122" width="9.140625" style="409"/>
    <col min="5123" max="5123" width="9" style="409" customWidth="1"/>
    <col min="5124" max="5124" width="8.140625" style="409" customWidth="1"/>
    <col min="5125" max="5133" width="5.5703125" style="409" bestFit="1" customWidth="1"/>
    <col min="5134" max="5376" width="9.140625" style="409"/>
    <col min="5377" max="5377" width="44.85546875" style="409" customWidth="1"/>
    <col min="5378" max="5378" width="9.140625" style="409"/>
    <col min="5379" max="5379" width="9" style="409" customWidth="1"/>
    <col min="5380" max="5380" width="8.140625" style="409" customWidth="1"/>
    <col min="5381" max="5389" width="5.5703125" style="409" bestFit="1" customWidth="1"/>
    <col min="5390" max="5632" width="9.140625" style="409"/>
    <col min="5633" max="5633" width="44.85546875" style="409" customWidth="1"/>
    <col min="5634" max="5634" width="9.140625" style="409"/>
    <col min="5635" max="5635" width="9" style="409" customWidth="1"/>
    <col min="5636" max="5636" width="8.140625" style="409" customWidth="1"/>
    <col min="5637" max="5645" width="5.5703125" style="409" bestFit="1" customWidth="1"/>
    <col min="5646" max="5888" width="9.140625" style="409"/>
    <col min="5889" max="5889" width="44.85546875" style="409" customWidth="1"/>
    <col min="5890" max="5890" width="9.140625" style="409"/>
    <col min="5891" max="5891" width="9" style="409" customWidth="1"/>
    <col min="5892" max="5892" width="8.140625" style="409" customWidth="1"/>
    <col min="5893" max="5901" width="5.5703125" style="409" bestFit="1" customWidth="1"/>
    <col min="5902" max="6144" width="9.140625" style="409"/>
    <col min="6145" max="6145" width="44.85546875" style="409" customWidth="1"/>
    <col min="6146" max="6146" width="9.140625" style="409"/>
    <col min="6147" max="6147" width="9" style="409" customWidth="1"/>
    <col min="6148" max="6148" width="8.140625" style="409" customWidth="1"/>
    <col min="6149" max="6157" width="5.5703125" style="409" bestFit="1" customWidth="1"/>
    <col min="6158" max="6400" width="9.140625" style="409"/>
    <col min="6401" max="6401" width="44.85546875" style="409" customWidth="1"/>
    <col min="6402" max="6402" width="9.140625" style="409"/>
    <col min="6403" max="6403" width="9" style="409" customWidth="1"/>
    <col min="6404" max="6404" width="8.140625" style="409" customWidth="1"/>
    <col min="6405" max="6413" width="5.5703125" style="409" bestFit="1" customWidth="1"/>
    <col min="6414" max="6656" width="9.140625" style="409"/>
    <col min="6657" max="6657" width="44.85546875" style="409" customWidth="1"/>
    <col min="6658" max="6658" width="9.140625" style="409"/>
    <col min="6659" max="6659" width="9" style="409" customWidth="1"/>
    <col min="6660" max="6660" width="8.140625" style="409" customWidth="1"/>
    <col min="6661" max="6669" width="5.5703125" style="409" bestFit="1" customWidth="1"/>
    <col min="6670" max="6912" width="9.140625" style="409"/>
    <col min="6913" max="6913" width="44.85546875" style="409" customWidth="1"/>
    <col min="6914" max="6914" width="9.140625" style="409"/>
    <col min="6915" max="6915" width="9" style="409" customWidth="1"/>
    <col min="6916" max="6916" width="8.140625" style="409" customWidth="1"/>
    <col min="6917" max="6925" width="5.5703125" style="409" bestFit="1" customWidth="1"/>
    <col min="6926" max="7168" width="9.140625" style="409"/>
    <col min="7169" max="7169" width="44.85546875" style="409" customWidth="1"/>
    <col min="7170" max="7170" width="9.140625" style="409"/>
    <col min="7171" max="7171" width="9" style="409" customWidth="1"/>
    <col min="7172" max="7172" width="8.140625" style="409" customWidth="1"/>
    <col min="7173" max="7181" width="5.5703125" style="409" bestFit="1" customWidth="1"/>
    <col min="7182" max="7424" width="9.140625" style="409"/>
    <col min="7425" max="7425" width="44.85546875" style="409" customWidth="1"/>
    <col min="7426" max="7426" width="9.140625" style="409"/>
    <col min="7427" max="7427" width="9" style="409" customWidth="1"/>
    <col min="7428" max="7428" width="8.140625" style="409" customWidth="1"/>
    <col min="7429" max="7437" width="5.5703125" style="409" bestFit="1" customWidth="1"/>
    <col min="7438" max="7680" width="9.140625" style="409"/>
    <col min="7681" max="7681" width="44.85546875" style="409" customWidth="1"/>
    <col min="7682" max="7682" width="9.140625" style="409"/>
    <col min="7683" max="7683" width="9" style="409" customWidth="1"/>
    <col min="7684" max="7684" width="8.140625" style="409" customWidth="1"/>
    <col min="7685" max="7693" width="5.5703125" style="409" bestFit="1" customWidth="1"/>
    <col min="7694" max="7936" width="9.140625" style="409"/>
    <col min="7937" max="7937" width="44.85546875" style="409" customWidth="1"/>
    <col min="7938" max="7938" width="9.140625" style="409"/>
    <col min="7939" max="7939" width="9" style="409" customWidth="1"/>
    <col min="7940" max="7940" width="8.140625" style="409" customWidth="1"/>
    <col min="7941" max="7949" width="5.5703125" style="409" bestFit="1" customWidth="1"/>
    <col min="7950" max="8192" width="9.140625" style="409"/>
    <col min="8193" max="8193" width="44.85546875" style="409" customWidth="1"/>
    <col min="8194" max="8194" width="9.140625" style="409"/>
    <col min="8195" max="8195" width="9" style="409" customWidth="1"/>
    <col min="8196" max="8196" width="8.140625" style="409" customWidth="1"/>
    <col min="8197" max="8205" width="5.5703125" style="409" bestFit="1" customWidth="1"/>
    <col min="8206" max="8448" width="9.140625" style="409"/>
    <col min="8449" max="8449" width="44.85546875" style="409" customWidth="1"/>
    <col min="8450" max="8450" width="9.140625" style="409"/>
    <col min="8451" max="8451" width="9" style="409" customWidth="1"/>
    <col min="8452" max="8452" width="8.140625" style="409" customWidth="1"/>
    <col min="8453" max="8461" width="5.5703125" style="409" bestFit="1" customWidth="1"/>
    <col min="8462" max="8704" width="9.140625" style="409"/>
    <col min="8705" max="8705" width="44.85546875" style="409" customWidth="1"/>
    <col min="8706" max="8706" width="9.140625" style="409"/>
    <col min="8707" max="8707" width="9" style="409" customWidth="1"/>
    <col min="8708" max="8708" width="8.140625" style="409" customWidth="1"/>
    <col min="8709" max="8717" width="5.5703125" style="409" bestFit="1" customWidth="1"/>
    <col min="8718" max="8960" width="9.140625" style="409"/>
    <col min="8961" max="8961" width="44.85546875" style="409" customWidth="1"/>
    <col min="8962" max="8962" width="9.140625" style="409"/>
    <col min="8963" max="8963" width="9" style="409" customWidth="1"/>
    <col min="8964" max="8964" width="8.140625" style="409" customWidth="1"/>
    <col min="8965" max="8973" width="5.5703125" style="409" bestFit="1" customWidth="1"/>
    <col min="8974" max="9216" width="9.140625" style="409"/>
    <col min="9217" max="9217" width="44.85546875" style="409" customWidth="1"/>
    <col min="9218" max="9218" width="9.140625" style="409"/>
    <col min="9219" max="9219" width="9" style="409" customWidth="1"/>
    <col min="9220" max="9220" width="8.140625" style="409" customWidth="1"/>
    <col min="9221" max="9229" width="5.5703125" style="409" bestFit="1" customWidth="1"/>
    <col min="9230" max="9472" width="9.140625" style="409"/>
    <col min="9473" max="9473" width="44.85546875" style="409" customWidth="1"/>
    <col min="9474" max="9474" width="9.140625" style="409"/>
    <col min="9475" max="9475" width="9" style="409" customWidth="1"/>
    <col min="9476" max="9476" width="8.140625" style="409" customWidth="1"/>
    <col min="9477" max="9485" width="5.5703125" style="409" bestFit="1" customWidth="1"/>
    <col min="9486" max="9728" width="9.140625" style="409"/>
    <col min="9729" max="9729" width="44.85546875" style="409" customWidth="1"/>
    <col min="9730" max="9730" width="9.140625" style="409"/>
    <col min="9731" max="9731" width="9" style="409" customWidth="1"/>
    <col min="9732" max="9732" width="8.140625" style="409" customWidth="1"/>
    <col min="9733" max="9741" width="5.5703125" style="409" bestFit="1" customWidth="1"/>
    <col min="9742" max="9984" width="9.140625" style="409"/>
    <col min="9985" max="9985" width="44.85546875" style="409" customWidth="1"/>
    <col min="9986" max="9986" width="9.140625" style="409"/>
    <col min="9987" max="9987" width="9" style="409" customWidth="1"/>
    <col min="9988" max="9988" width="8.140625" style="409" customWidth="1"/>
    <col min="9989" max="9997" width="5.5703125" style="409" bestFit="1" customWidth="1"/>
    <col min="9998" max="10240" width="9.140625" style="409"/>
    <col min="10241" max="10241" width="44.85546875" style="409" customWidth="1"/>
    <col min="10242" max="10242" width="9.140625" style="409"/>
    <col min="10243" max="10243" width="9" style="409" customWidth="1"/>
    <col min="10244" max="10244" width="8.140625" style="409" customWidth="1"/>
    <col min="10245" max="10253" width="5.5703125" style="409" bestFit="1" customWidth="1"/>
    <col min="10254" max="10496" width="9.140625" style="409"/>
    <col min="10497" max="10497" width="44.85546875" style="409" customWidth="1"/>
    <col min="10498" max="10498" width="9.140625" style="409"/>
    <col min="10499" max="10499" width="9" style="409" customWidth="1"/>
    <col min="10500" max="10500" width="8.140625" style="409" customWidth="1"/>
    <col min="10501" max="10509" width="5.5703125" style="409" bestFit="1" customWidth="1"/>
    <col min="10510" max="10752" width="9.140625" style="409"/>
    <col min="10753" max="10753" width="44.85546875" style="409" customWidth="1"/>
    <col min="10754" max="10754" width="9.140625" style="409"/>
    <col min="10755" max="10755" width="9" style="409" customWidth="1"/>
    <col min="10756" max="10756" width="8.140625" style="409" customWidth="1"/>
    <col min="10757" max="10765" width="5.5703125" style="409" bestFit="1" customWidth="1"/>
    <col min="10766" max="11008" width="9.140625" style="409"/>
    <col min="11009" max="11009" width="44.85546875" style="409" customWidth="1"/>
    <col min="11010" max="11010" width="9.140625" style="409"/>
    <col min="11011" max="11011" width="9" style="409" customWidth="1"/>
    <col min="11012" max="11012" width="8.140625" style="409" customWidth="1"/>
    <col min="11013" max="11021" width="5.5703125" style="409" bestFit="1" customWidth="1"/>
    <col min="11022" max="11264" width="9.140625" style="409"/>
    <col min="11265" max="11265" width="44.85546875" style="409" customWidth="1"/>
    <col min="11266" max="11266" width="9.140625" style="409"/>
    <col min="11267" max="11267" width="9" style="409" customWidth="1"/>
    <col min="11268" max="11268" width="8.140625" style="409" customWidth="1"/>
    <col min="11269" max="11277" width="5.5703125" style="409" bestFit="1" customWidth="1"/>
    <col min="11278" max="11520" width="9.140625" style="409"/>
    <col min="11521" max="11521" width="44.85546875" style="409" customWidth="1"/>
    <col min="11522" max="11522" width="9.140625" style="409"/>
    <col min="11523" max="11523" width="9" style="409" customWidth="1"/>
    <col min="11524" max="11524" width="8.140625" style="409" customWidth="1"/>
    <col min="11525" max="11533" width="5.5703125" style="409" bestFit="1" customWidth="1"/>
    <col min="11534" max="11776" width="9.140625" style="409"/>
    <col min="11777" max="11777" width="44.85546875" style="409" customWidth="1"/>
    <col min="11778" max="11778" width="9.140625" style="409"/>
    <col min="11779" max="11779" width="9" style="409" customWidth="1"/>
    <col min="11780" max="11780" width="8.140625" style="409" customWidth="1"/>
    <col min="11781" max="11789" width="5.5703125" style="409" bestFit="1" customWidth="1"/>
    <col min="11790" max="12032" width="9.140625" style="409"/>
    <col min="12033" max="12033" width="44.85546875" style="409" customWidth="1"/>
    <col min="12034" max="12034" width="9.140625" style="409"/>
    <col min="12035" max="12035" width="9" style="409" customWidth="1"/>
    <col min="12036" max="12036" width="8.140625" style="409" customWidth="1"/>
    <col min="12037" max="12045" width="5.5703125" style="409" bestFit="1" customWidth="1"/>
    <col min="12046" max="12288" width="9.140625" style="409"/>
    <col min="12289" max="12289" width="44.85546875" style="409" customWidth="1"/>
    <col min="12290" max="12290" width="9.140625" style="409"/>
    <col min="12291" max="12291" width="9" style="409" customWidth="1"/>
    <col min="12292" max="12292" width="8.140625" style="409" customWidth="1"/>
    <col min="12293" max="12301" width="5.5703125" style="409" bestFit="1" customWidth="1"/>
    <col min="12302" max="12544" width="9.140625" style="409"/>
    <col min="12545" max="12545" width="44.85546875" style="409" customWidth="1"/>
    <col min="12546" max="12546" width="9.140625" style="409"/>
    <col min="12547" max="12547" width="9" style="409" customWidth="1"/>
    <col min="12548" max="12548" width="8.140625" style="409" customWidth="1"/>
    <col min="12549" max="12557" width="5.5703125" style="409" bestFit="1" customWidth="1"/>
    <col min="12558" max="12800" width="9.140625" style="409"/>
    <col min="12801" max="12801" width="44.85546875" style="409" customWidth="1"/>
    <col min="12802" max="12802" width="9.140625" style="409"/>
    <col min="12803" max="12803" width="9" style="409" customWidth="1"/>
    <col min="12804" max="12804" width="8.140625" style="409" customWidth="1"/>
    <col min="12805" max="12813" width="5.5703125" style="409" bestFit="1" customWidth="1"/>
    <col min="12814" max="13056" width="9.140625" style="409"/>
    <col min="13057" max="13057" width="44.85546875" style="409" customWidth="1"/>
    <col min="13058" max="13058" width="9.140625" style="409"/>
    <col min="13059" max="13059" width="9" style="409" customWidth="1"/>
    <col min="13060" max="13060" width="8.140625" style="409" customWidth="1"/>
    <col min="13061" max="13069" width="5.5703125" style="409" bestFit="1" customWidth="1"/>
    <col min="13070" max="13312" width="9.140625" style="409"/>
    <col min="13313" max="13313" width="44.85546875" style="409" customWidth="1"/>
    <col min="13314" max="13314" width="9.140625" style="409"/>
    <col min="13315" max="13315" width="9" style="409" customWidth="1"/>
    <col min="13316" max="13316" width="8.140625" style="409" customWidth="1"/>
    <col min="13317" max="13325" width="5.5703125" style="409" bestFit="1" customWidth="1"/>
    <col min="13326" max="13568" width="9.140625" style="409"/>
    <col min="13569" max="13569" width="44.85546875" style="409" customWidth="1"/>
    <col min="13570" max="13570" width="9.140625" style="409"/>
    <col min="13571" max="13571" width="9" style="409" customWidth="1"/>
    <col min="13572" max="13572" width="8.140625" style="409" customWidth="1"/>
    <col min="13573" max="13581" width="5.5703125" style="409" bestFit="1" customWidth="1"/>
    <col min="13582" max="13824" width="9.140625" style="409"/>
    <col min="13825" max="13825" width="44.85546875" style="409" customWidth="1"/>
    <col min="13826" max="13826" width="9.140625" style="409"/>
    <col min="13827" max="13827" width="9" style="409" customWidth="1"/>
    <col min="13828" max="13828" width="8.140625" style="409" customWidth="1"/>
    <col min="13829" max="13837" width="5.5703125" style="409" bestFit="1" customWidth="1"/>
    <col min="13838" max="14080" width="9.140625" style="409"/>
    <col min="14081" max="14081" width="44.85546875" style="409" customWidth="1"/>
    <col min="14082" max="14082" width="9.140625" style="409"/>
    <col min="14083" max="14083" width="9" style="409" customWidth="1"/>
    <col min="14084" max="14084" width="8.140625" style="409" customWidth="1"/>
    <col min="14085" max="14093" width="5.5703125" style="409" bestFit="1" customWidth="1"/>
    <col min="14094" max="14336" width="9.140625" style="409"/>
    <col min="14337" max="14337" width="44.85546875" style="409" customWidth="1"/>
    <col min="14338" max="14338" width="9.140625" style="409"/>
    <col min="14339" max="14339" width="9" style="409" customWidth="1"/>
    <col min="14340" max="14340" width="8.140625" style="409" customWidth="1"/>
    <col min="14341" max="14349" width="5.5703125" style="409" bestFit="1" customWidth="1"/>
    <col min="14350" max="14592" width="9.140625" style="409"/>
    <col min="14593" max="14593" width="44.85546875" style="409" customWidth="1"/>
    <col min="14594" max="14594" width="9.140625" style="409"/>
    <col min="14595" max="14595" width="9" style="409" customWidth="1"/>
    <col min="14596" max="14596" width="8.140625" style="409" customWidth="1"/>
    <col min="14597" max="14605" width="5.5703125" style="409" bestFit="1" customWidth="1"/>
    <col min="14606" max="14848" width="9.140625" style="409"/>
    <col min="14849" max="14849" width="44.85546875" style="409" customWidth="1"/>
    <col min="14850" max="14850" width="9.140625" style="409"/>
    <col min="14851" max="14851" width="9" style="409" customWidth="1"/>
    <col min="14852" max="14852" width="8.140625" style="409" customWidth="1"/>
    <col min="14853" max="14861" width="5.5703125" style="409" bestFit="1" customWidth="1"/>
    <col min="14862" max="15104" width="9.140625" style="409"/>
    <col min="15105" max="15105" width="44.85546875" style="409" customWidth="1"/>
    <col min="15106" max="15106" width="9.140625" style="409"/>
    <col min="15107" max="15107" width="9" style="409" customWidth="1"/>
    <col min="15108" max="15108" width="8.140625" style="409" customWidth="1"/>
    <col min="15109" max="15117" width="5.5703125" style="409" bestFit="1" customWidth="1"/>
    <col min="15118" max="15360" width="9.140625" style="409"/>
    <col min="15361" max="15361" width="44.85546875" style="409" customWidth="1"/>
    <col min="15362" max="15362" width="9.140625" style="409"/>
    <col min="15363" max="15363" width="9" style="409" customWidth="1"/>
    <col min="15364" max="15364" width="8.140625" style="409" customWidth="1"/>
    <col min="15365" max="15373" width="5.5703125" style="409" bestFit="1" customWidth="1"/>
    <col min="15374" max="15616" width="9.140625" style="409"/>
    <col min="15617" max="15617" width="44.85546875" style="409" customWidth="1"/>
    <col min="15618" max="15618" width="9.140625" style="409"/>
    <col min="15619" max="15619" width="9" style="409" customWidth="1"/>
    <col min="15620" max="15620" width="8.140625" style="409" customWidth="1"/>
    <col min="15621" max="15629" width="5.5703125" style="409" bestFit="1" customWidth="1"/>
    <col min="15630" max="15872" width="9.140625" style="409"/>
    <col min="15873" max="15873" width="44.85546875" style="409" customWidth="1"/>
    <col min="15874" max="15874" width="9.140625" style="409"/>
    <col min="15875" max="15875" width="9" style="409" customWidth="1"/>
    <col min="15876" max="15876" width="8.140625" style="409" customWidth="1"/>
    <col min="15877" max="15885" width="5.5703125" style="409" bestFit="1" customWidth="1"/>
    <col min="15886" max="16128" width="9.140625" style="409"/>
    <col min="16129" max="16129" width="44.85546875" style="409" customWidth="1"/>
    <col min="16130" max="16130" width="9.140625" style="409"/>
    <col min="16131" max="16131" width="9" style="409" customWidth="1"/>
    <col min="16132" max="16132" width="8.140625" style="409" customWidth="1"/>
    <col min="16133" max="16141" width="5.5703125" style="409" bestFit="1" customWidth="1"/>
    <col min="16142" max="16384" width="9.140625" style="409"/>
  </cols>
  <sheetData>
    <row r="1" spans="1:13" x14ac:dyDescent="0.2">
      <c r="F1" s="411"/>
    </row>
    <row r="2" spans="1:13" x14ac:dyDescent="0.2">
      <c r="A2" s="412" t="s">
        <v>437</v>
      </c>
      <c r="B2" s="413" t="s">
        <v>38</v>
      </c>
      <c r="C2" s="414"/>
    </row>
    <row r="3" spans="1:13" x14ac:dyDescent="0.2">
      <c r="A3" s="415" t="s">
        <v>563</v>
      </c>
      <c r="B3" s="416" t="s">
        <v>24</v>
      </c>
      <c r="C3" s="417" t="s">
        <v>558</v>
      </c>
      <c r="D3" s="417" t="s">
        <v>559</v>
      </c>
      <c r="E3" s="417" t="s">
        <v>15</v>
      </c>
      <c r="F3" s="417" t="s">
        <v>559</v>
      </c>
      <c r="G3" s="417" t="s">
        <v>24</v>
      </c>
      <c r="H3" s="417" t="s">
        <v>24</v>
      </c>
      <c r="I3" s="417" t="s">
        <v>15</v>
      </c>
      <c r="J3" s="417" t="s">
        <v>19</v>
      </c>
      <c r="K3" s="417" t="s">
        <v>560</v>
      </c>
      <c r="L3" s="417" t="s">
        <v>561</v>
      </c>
      <c r="M3" s="417" t="s">
        <v>20</v>
      </c>
    </row>
    <row r="4" spans="1:13" x14ac:dyDescent="0.2">
      <c r="A4" s="412" t="s">
        <v>564</v>
      </c>
      <c r="B4" s="418">
        <v>0.75</v>
      </c>
      <c r="C4" s="418">
        <v>0.375</v>
      </c>
      <c r="D4" s="418">
        <v>0.21</v>
      </c>
      <c r="E4" s="418">
        <v>0.12</v>
      </c>
      <c r="F4" s="419">
        <v>0.22641786213335735</v>
      </c>
      <c r="G4" s="419">
        <v>0.47893449677110855</v>
      </c>
      <c r="H4" s="419">
        <v>0.72703745922594187</v>
      </c>
      <c r="I4" s="419">
        <v>0.64852557772736308</v>
      </c>
      <c r="J4" s="418">
        <v>0.32426278886368154</v>
      </c>
      <c r="K4" s="418">
        <v>0.16213139443184077</v>
      </c>
      <c r="L4" s="418">
        <v>8.1065697215920385E-2</v>
      </c>
      <c r="M4" s="418">
        <v>4.0532848607960192E-2</v>
      </c>
    </row>
    <row r="5" spans="1:13" x14ac:dyDescent="0.2">
      <c r="A5" s="412" t="s">
        <v>565</v>
      </c>
      <c r="B5" s="416">
        <v>6.7499999999999991E-2</v>
      </c>
      <c r="C5" s="418">
        <v>3.3749999999999995E-2</v>
      </c>
      <c r="D5" s="418">
        <v>3.3749999999999995E-2</v>
      </c>
      <c r="E5" s="418">
        <v>3.3749999999999995E-2</v>
      </c>
      <c r="F5" s="420">
        <v>0.25083287294624568</v>
      </c>
      <c r="G5" s="420">
        <v>0.53057879200098168</v>
      </c>
      <c r="H5" s="420">
        <v>0.80543510533533458</v>
      </c>
      <c r="I5" s="420">
        <v>0.71845715840504965</v>
      </c>
      <c r="J5" s="418">
        <v>0.35922857920252482</v>
      </c>
      <c r="K5" s="418">
        <v>0.17961428960126241</v>
      </c>
      <c r="L5" s="418">
        <v>8.9807144800631206E-2</v>
      </c>
      <c r="M5" s="418">
        <v>4.4903572400315603E-2</v>
      </c>
    </row>
    <row r="6" spans="1:13" x14ac:dyDescent="0.2">
      <c r="A6" s="415" t="s">
        <v>457</v>
      </c>
      <c r="B6" s="416"/>
      <c r="C6" s="417"/>
    </row>
    <row r="7" spans="1:13" x14ac:dyDescent="0.2">
      <c r="A7" s="412" t="s">
        <v>566</v>
      </c>
      <c r="B7" s="416"/>
      <c r="C7" s="417"/>
      <c r="F7" s="411"/>
    </row>
    <row r="8" spans="1:13" ht="15" x14ac:dyDescent="0.25">
      <c r="A8" s="412" t="s">
        <v>567</v>
      </c>
      <c r="B8" s="421">
        <f>'Area+TU1'!$B$164</f>
        <v>257.49182300000001</v>
      </c>
      <c r="C8" s="417"/>
    </row>
    <row r="9" spans="1:13" x14ac:dyDescent="0.2">
      <c r="A9" s="417"/>
      <c r="B9" s="416"/>
      <c r="C9" s="417"/>
    </row>
    <row r="10" spans="1:13" x14ac:dyDescent="0.2">
      <c r="A10" s="412"/>
      <c r="B10" s="416"/>
      <c r="C10" s="417"/>
    </row>
    <row r="11" spans="1:13" x14ac:dyDescent="0.2">
      <c r="A11" s="422" t="s">
        <v>568</v>
      </c>
      <c r="B11" s="423">
        <v>60</v>
      </c>
      <c r="C11" s="417"/>
    </row>
    <row r="13" spans="1:13" x14ac:dyDescent="0.2">
      <c r="E13" s="411"/>
    </row>
    <row r="14" spans="1:13" x14ac:dyDescent="0.2">
      <c r="B14" s="409" t="s">
        <v>569</v>
      </c>
    </row>
    <row r="15" spans="1:13" x14ac:dyDescent="0.2">
      <c r="B15" s="417" t="s">
        <v>18</v>
      </c>
      <c r="C15" s="417" t="s">
        <v>436</v>
      </c>
      <c r="D15" s="417" t="s">
        <v>570</v>
      </c>
    </row>
    <row r="16" spans="1:13" x14ac:dyDescent="0.2">
      <c r="B16" s="416">
        <v>378657.41200000001</v>
      </c>
      <c r="C16" s="417">
        <v>988511.76199999999</v>
      </c>
      <c r="D16" s="417">
        <v>2268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M112"/>
  <sheetViews>
    <sheetView tabSelected="1" topLeftCell="A18" workbookViewId="0">
      <selection activeCell="E30" sqref="E30"/>
    </sheetView>
  </sheetViews>
  <sheetFormatPr defaultRowHeight="12.75" x14ac:dyDescent="0.2"/>
  <cols>
    <col min="1" max="1" width="60.5703125" style="40" customWidth="1"/>
    <col min="2" max="2" width="9.42578125" style="41" bestFit="1" customWidth="1"/>
    <col min="3" max="3" width="5.85546875" style="41" bestFit="1" customWidth="1"/>
    <col min="4" max="4" width="33.85546875" style="40" bestFit="1" customWidth="1"/>
    <col min="5" max="5" width="9" style="40" customWidth="1"/>
    <col min="6" max="6" width="8.85546875" style="40" customWidth="1"/>
    <col min="7" max="7" width="9" style="40" customWidth="1"/>
    <col min="8" max="8" width="7.85546875" style="40" customWidth="1"/>
    <col min="9" max="9" width="8.5703125" style="40" customWidth="1"/>
    <col min="10" max="10" width="9" style="40" customWidth="1"/>
    <col min="11" max="16384" width="9.140625" style="40"/>
  </cols>
  <sheetData>
    <row r="1" spans="1:7" x14ac:dyDescent="0.2">
      <c r="A1" s="165" t="s">
        <v>513</v>
      </c>
    </row>
    <row r="2" spans="1:7" x14ac:dyDescent="0.2">
      <c r="A2" s="73" t="s">
        <v>250</v>
      </c>
      <c r="B2" s="166" t="s">
        <v>38</v>
      </c>
      <c r="C2" s="166" t="s">
        <v>16</v>
      </c>
      <c r="D2" s="73" t="s">
        <v>0</v>
      </c>
      <c r="F2" s="45" t="s">
        <v>351</v>
      </c>
      <c r="G2" s="45"/>
    </row>
    <row r="3" spans="1:7" x14ac:dyDescent="0.2">
      <c r="A3" s="167" t="s">
        <v>579</v>
      </c>
      <c r="B3" s="56"/>
      <c r="C3" s="56"/>
      <c r="D3" s="43"/>
      <c r="F3" s="45" t="s">
        <v>577</v>
      </c>
      <c r="G3" s="45"/>
    </row>
    <row r="4" spans="1:7" x14ac:dyDescent="0.2">
      <c r="A4" s="168" t="s">
        <v>573</v>
      </c>
      <c r="B4" s="56"/>
      <c r="C4" s="56"/>
      <c r="D4" s="43"/>
      <c r="F4" s="45" t="s">
        <v>578</v>
      </c>
    </row>
    <row r="5" spans="1:7" x14ac:dyDescent="0.2">
      <c r="A5" s="43" t="s">
        <v>514</v>
      </c>
      <c r="B5" s="42">
        <f>CWR!C25</f>
        <v>0.76666666666666672</v>
      </c>
      <c r="C5" s="56" t="s">
        <v>251</v>
      </c>
      <c r="D5" s="43" t="s">
        <v>516</v>
      </c>
      <c r="F5" s="45"/>
    </row>
    <row r="6" spans="1:7" x14ac:dyDescent="0.2">
      <c r="A6" s="43" t="s">
        <v>515</v>
      </c>
      <c r="B6" s="320">
        <f>CWR!C25*24/10</f>
        <v>1.8400000000000003</v>
      </c>
      <c r="C6" s="56" t="s">
        <v>251</v>
      </c>
      <c r="D6" s="43" t="s">
        <v>252</v>
      </c>
    </row>
    <row r="7" spans="1:7" x14ac:dyDescent="0.2">
      <c r="A7" s="43" t="s">
        <v>253</v>
      </c>
      <c r="B7" s="169">
        <f>'Area+TU1'!B166</f>
        <v>373.9</v>
      </c>
      <c r="C7" s="56" t="s">
        <v>17</v>
      </c>
      <c r="D7" s="43"/>
      <c r="G7" s="45"/>
    </row>
    <row r="8" spans="1:7" x14ac:dyDescent="0.2">
      <c r="A8" s="43" t="s">
        <v>465</v>
      </c>
      <c r="B8" s="169">
        <f>B7-B9</f>
        <v>116.40817699999997</v>
      </c>
      <c r="C8" s="56" t="s">
        <v>17</v>
      </c>
      <c r="D8" s="43" t="s">
        <v>467</v>
      </c>
    </row>
    <row r="9" spans="1:7" x14ac:dyDescent="0.2">
      <c r="A9" s="43" t="s">
        <v>254</v>
      </c>
      <c r="B9" s="169">
        <f>'Area+TU1'!B164</f>
        <v>257.49182300000001</v>
      </c>
      <c r="C9" s="56" t="s">
        <v>17</v>
      </c>
      <c r="D9" s="43"/>
    </row>
    <row r="10" spans="1:7" ht="15" x14ac:dyDescent="0.2">
      <c r="A10" s="43" t="s">
        <v>503</v>
      </c>
      <c r="B10" s="319">
        <f>B9*B6/1000</f>
        <v>0.47378495432000012</v>
      </c>
      <c r="C10" s="56" t="s">
        <v>255</v>
      </c>
      <c r="D10" s="43" t="s">
        <v>517</v>
      </c>
    </row>
    <row r="11" spans="1:7" ht="15" x14ac:dyDescent="0.2">
      <c r="A11" s="43" t="s">
        <v>502</v>
      </c>
      <c r="B11" s="319">
        <f>CWR!B35</f>
        <v>6.7499999999999991E-2</v>
      </c>
      <c r="C11" s="56" t="s">
        <v>255</v>
      </c>
      <c r="D11" s="43" t="s">
        <v>504</v>
      </c>
    </row>
    <row r="12" spans="1:7" ht="15" x14ac:dyDescent="0.2">
      <c r="A12" s="43" t="s">
        <v>532</v>
      </c>
      <c r="B12" s="318">
        <f>CWR!C39*24/10</f>
        <v>0.15115462761680004</v>
      </c>
      <c r="C12" s="56" t="s">
        <v>255</v>
      </c>
      <c r="D12" s="337" t="s">
        <v>505</v>
      </c>
    </row>
    <row r="13" spans="1:7" x14ac:dyDescent="0.2">
      <c r="A13" s="168" t="s">
        <v>574</v>
      </c>
      <c r="B13" s="170"/>
      <c r="C13" s="56"/>
      <c r="D13" s="43"/>
    </row>
    <row r="14" spans="1:7" x14ac:dyDescent="0.2">
      <c r="A14" s="43" t="s">
        <v>469</v>
      </c>
      <c r="B14" s="320">
        <v>2511.7154999999998</v>
      </c>
      <c r="C14" s="56" t="s">
        <v>3</v>
      </c>
      <c r="D14" s="43"/>
    </row>
    <row r="15" spans="1:7" x14ac:dyDescent="0.2">
      <c r="A15" s="43" t="s">
        <v>471</v>
      </c>
      <c r="B15" s="320">
        <v>0.7</v>
      </c>
      <c r="C15" s="56" t="s">
        <v>3</v>
      </c>
      <c r="D15" s="43"/>
    </row>
    <row r="16" spans="1:7" x14ac:dyDescent="0.2">
      <c r="A16" s="43" t="s">
        <v>489</v>
      </c>
      <c r="B16" s="320">
        <v>1</v>
      </c>
      <c r="C16" s="56" t="s">
        <v>3</v>
      </c>
      <c r="D16" s="43"/>
    </row>
    <row r="17" spans="1:7" x14ac:dyDescent="0.2">
      <c r="A17" s="43" t="s">
        <v>256</v>
      </c>
      <c r="B17" s="320">
        <f>B14+B15</f>
        <v>2512.4154999999996</v>
      </c>
      <c r="C17" s="56" t="s">
        <v>3</v>
      </c>
      <c r="D17" s="43"/>
    </row>
    <row r="18" spans="1:7" x14ac:dyDescent="0.2">
      <c r="A18" s="43" t="s">
        <v>468</v>
      </c>
      <c r="B18" s="320">
        <v>2513.11</v>
      </c>
      <c r="C18" s="56" t="s">
        <v>3</v>
      </c>
      <c r="D18" s="43"/>
    </row>
    <row r="19" spans="1:7" x14ac:dyDescent="0.2">
      <c r="A19" s="43" t="s">
        <v>257</v>
      </c>
      <c r="B19" s="321">
        <v>2515.2504999999996</v>
      </c>
      <c r="C19" s="56" t="s">
        <v>3</v>
      </c>
      <c r="D19" s="43" t="s">
        <v>263</v>
      </c>
    </row>
    <row r="20" spans="1:7" x14ac:dyDescent="0.2">
      <c r="A20" s="43" t="s">
        <v>470</v>
      </c>
      <c r="B20" s="321">
        <f>B19-B18</f>
        <v>2.1404999999995198</v>
      </c>
      <c r="C20" s="56" t="s">
        <v>3</v>
      </c>
      <c r="D20" s="43"/>
    </row>
    <row r="21" spans="1:7" x14ac:dyDescent="0.2">
      <c r="A21" s="43" t="s">
        <v>490</v>
      </c>
      <c r="B21" s="321">
        <v>2546</v>
      </c>
      <c r="C21" s="56" t="s">
        <v>3</v>
      </c>
      <c r="D21" s="43"/>
    </row>
    <row r="22" spans="1:7" x14ac:dyDescent="0.2">
      <c r="A22" s="43" t="s">
        <v>491</v>
      </c>
      <c r="B22" s="321">
        <v>2549</v>
      </c>
      <c r="C22" s="56" t="s">
        <v>3</v>
      </c>
      <c r="D22" s="43"/>
    </row>
    <row r="23" spans="1:7" x14ac:dyDescent="0.2">
      <c r="A23" s="43" t="s">
        <v>258</v>
      </c>
      <c r="B23" s="320">
        <f>AVERAGE(B21:B22)+2</f>
        <v>2549.5</v>
      </c>
      <c r="C23" s="56" t="s">
        <v>3</v>
      </c>
      <c r="D23" s="43" t="s">
        <v>492</v>
      </c>
    </row>
    <row r="24" spans="1:7" x14ac:dyDescent="0.2">
      <c r="A24" s="167" t="s">
        <v>580</v>
      </c>
      <c r="B24" s="42"/>
      <c r="C24" s="56"/>
      <c r="D24" s="43"/>
    </row>
    <row r="25" spans="1:7" x14ac:dyDescent="0.2">
      <c r="A25" s="168" t="s">
        <v>575</v>
      </c>
      <c r="B25" s="42"/>
      <c r="C25" s="56"/>
      <c r="D25" s="43"/>
    </row>
    <row r="26" spans="1:7" x14ac:dyDescent="0.2">
      <c r="A26" s="43" t="s">
        <v>259</v>
      </c>
      <c r="B26" s="56" t="s">
        <v>508</v>
      </c>
      <c r="C26" s="56"/>
      <c r="D26" s="43"/>
    </row>
    <row r="27" spans="1:7" ht="15" x14ac:dyDescent="0.2">
      <c r="A27" s="43" t="s">
        <v>260</v>
      </c>
      <c r="B27" s="56">
        <v>20</v>
      </c>
      <c r="C27" s="56" t="s">
        <v>261</v>
      </c>
      <c r="D27" s="43"/>
    </row>
    <row r="28" spans="1:7" x14ac:dyDescent="0.2">
      <c r="A28" s="43" t="s">
        <v>262</v>
      </c>
      <c r="B28" s="42">
        <f>B19</f>
        <v>2515.2504999999996</v>
      </c>
      <c r="C28" s="56" t="s">
        <v>3</v>
      </c>
      <c r="D28" s="43" t="s">
        <v>263</v>
      </c>
    </row>
    <row r="29" spans="1:7" x14ac:dyDescent="0.2">
      <c r="A29" s="43" t="s">
        <v>264</v>
      </c>
      <c r="B29" s="42">
        <f>4+(B19-B17)+B16</f>
        <v>7.8350000000000364</v>
      </c>
      <c r="C29" s="56" t="s">
        <v>3</v>
      </c>
      <c r="D29" s="171" t="s">
        <v>488</v>
      </c>
    </row>
    <row r="30" spans="1:7" x14ac:dyDescent="0.2">
      <c r="A30" s="43" t="s">
        <v>265</v>
      </c>
      <c r="B30" s="56">
        <v>3</v>
      </c>
      <c r="C30" s="56" t="s">
        <v>2</v>
      </c>
      <c r="D30" s="43" t="s">
        <v>266</v>
      </c>
    </row>
    <row r="31" spans="1:7" ht="15" x14ac:dyDescent="0.2">
      <c r="A31" s="43" t="s">
        <v>267</v>
      </c>
      <c r="B31" s="372">
        <f>B12/(B30-1)</f>
        <v>7.5577313808400021E-2</v>
      </c>
      <c r="C31" s="56" t="s">
        <v>255</v>
      </c>
      <c r="D31" s="426">
        <f>CEILING((B31*3600),10)</f>
        <v>280</v>
      </c>
      <c r="G31" s="40" t="s">
        <v>585</v>
      </c>
    </row>
    <row r="32" spans="1:7" x14ac:dyDescent="0.2">
      <c r="A32" s="43" t="s">
        <v>268</v>
      </c>
      <c r="B32" s="56">
        <v>1.6</v>
      </c>
      <c r="C32" s="56" t="s">
        <v>14</v>
      </c>
      <c r="D32" s="43"/>
    </row>
    <row r="33" spans="1:6" x14ac:dyDescent="0.2">
      <c r="A33" s="43" t="s">
        <v>269</v>
      </c>
      <c r="B33" s="172">
        <f>SQRT((4*B31)/(PI()*1.63))</f>
        <v>0.24297242215915318</v>
      </c>
      <c r="C33" s="56" t="s">
        <v>3</v>
      </c>
      <c r="D33" s="43"/>
    </row>
    <row r="34" spans="1:6" x14ac:dyDescent="0.2">
      <c r="A34" s="43" t="s">
        <v>270</v>
      </c>
      <c r="B34" s="350">
        <f>CEILING(B33,0.05)</f>
        <v>0.25</v>
      </c>
      <c r="C34" s="56" t="s">
        <v>3</v>
      </c>
      <c r="D34" s="43"/>
    </row>
    <row r="35" spans="1:6" x14ac:dyDescent="0.2">
      <c r="A35" s="43" t="s">
        <v>271</v>
      </c>
      <c r="B35" s="174">
        <f>B32^2/(2*9.81)</f>
        <v>0.13047910295616719</v>
      </c>
      <c r="C35" s="56" t="s">
        <v>3</v>
      </c>
      <c r="D35" s="43"/>
    </row>
    <row r="36" spans="1:6" ht="19.5" customHeight="1" x14ac:dyDescent="0.2">
      <c r="A36" s="175" t="s">
        <v>272</v>
      </c>
      <c r="B36" s="176">
        <f>(6.811*B29*B32^1.852)/(B37^1.852*B34^1.17)</f>
        <v>0.12755288290300026</v>
      </c>
      <c r="C36" s="177" t="s">
        <v>3</v>
      </c>
      <c r="D36" s="43"/>
      <c r="F36" s="343"/>
    </row>
    <row r="37" spans="1:6" x14ac:dyDescent="0.2">
      <c r="A37" s="43" t="s">
        <v>274</v>
      </c>
      <c r="B37" s="56">
        <v>100</v>
      </c>
      <c r="C37" s="56"/>
      <c r="D37" s="43"/>
    </row>
    <row r="38" spans="1:6" x14ac:dyDescent="0.2">
      <c r="A38" s="43" t="s">
        <v>472</v>
      </c>
      <c r="B38" s="178">
        <f>4*B34</f>
        <v>1</v>
      </c>
      <c r="C38" s="56" t="s">
        <v>3</v>
      </c>
      <c r="D38" s="43" t="s">
        <v>473</v>
      </c>
    </row>
    <row r="39" spans="1:6" x14ac:dyDescent="0.2">
      <c r="A39" s="43" t="s">
        <v>275</v>
      </c>
      <c r="B39" s="174">
        <f>0.19*B32^2/(2*9.81)</f>
        <v>2.4791029561671767E-2</v>
      </c>
      <c r="C39" s="56" t="s">
        <v>3</v>
      </c>
      <c r="D39" s="43"/>
    </row>
    <row r="40" spans="1:6" x14ac:dyDescent="0.2">
      <c r="A40" s="43" t="s">
        <v>276</v>
      </c>
      <c r="B40" s="174">
        <f>B19-B17</f>
        <v>2.8350000000000364</v>
      </c>
      <c r="C40" s="56" t="s">
        <v>3</v>
      </c>
      <c r="D40" s="43"/>
    </row>
    <row r="41" spans="1:6" x14ac:dyDescent="0.2">
      <c r="A41" s="43" t="s">
        <v>277</v>
      </c>
      <c r="B41" s="174">
        <f>2*B32^2/(2*9.81)</f>
        <v>0.26095820591233437</v>
      </c>
      <c r="C41" s="56" t="s">
        <v>3</v>
      </c>
      <c r="D41" s="43"/>
    </row>
    <row r="42" spans="1:6" x14ac:dyDescent="0.2">
      <c r="A42" s="43" t="s">
        <v>278</v>
      </c>
      <c r="B42" s="174">
        <f>0.1*B32^2/(2*9.81)</f>
        <v>1.304791029561672E-2</v>
      </c>
      <c r="C42" s="56" t="s">
        <v>3</v>
      </c>
      <c r="D42" s="43"/>
    </row>
    <row r="43" spans="1:6" ht="25.5" x14ac:dyDescent="0.2">
      <c r="A43" s="179" t="s">
        <v>474</v>
      </c>
      <c r="B43" s="180">
        <f>SUM(B36,B39,B41,B42)</f>
        <v>0.42635002867262306</v>
      </c>
      <c r="C43" s="177" t="s">
        <v>3</v>
      </c>
      <c r="D43" s="43"/>
    </row>
    <row r="44" spans="1:6" x14ac:dyDescent="0.2">
      <c r="A44" s="43" t="s">
        <v>475</v>
      </c>
      <c r="B44" s="325">
        <f>B40+B43</f>
        <v>3.2613500286726596</v>
      </c>
      <c r="C44" s="56" t="s">
        <v>3</v>
      </c>
      <c r="D44" s="43"/>
    </row>
    <row r="45" spans="1:6" x14ac:dyDescent="0.2">
      <c r="A45" s="43" t="s">
        <v>279</v>
      </c>
      <c r="B45" s="56"/>
      <c r="C45" s="56" t="s">
        <v>3</v>
      </c>
      <c r="D45" s="43"/>
    </row>
    <row r="46" spans="1:6" x14ac:dyDescent="0.2">
      <c r="A46" s="181" t="s">
        <v>280</v>
      </c>
      <c r="B46" s="169">
        <v>10.33</v>
      </c>
      <c r="C46" s="56" t="s">
        <v>3</v>
      </c>
      <c r="D46" s="43"/>
    </row>
    <row r="47" spans="1:6" x14ac:dyDescent="0.2">
      <c r="A47" s="181" t="s">
        <v>281</v>
      </c>
      <c r="B47" s="42">
        <f>B46-(B28/300)*0.36</f>
        <v>7.3116994000000011</v>
      </c>
      <c r="C47" s="56" t="s">
        <v>3</v>
      </c>
      <c r="D47" s="179" t="s">
        <v>476</v>
      </c>
    </row>
    <row r="48" spans="1:6" ht="22.5" customHeight="1" x14ac:dyDescent="0.2">
      <c r="A48" s="182" t="s">
        <v>282</v>
      </c>
      <c r="B48" s="183">
        <f>2.749*10^8*EXP(-4278.6/(B27+242.8))*H55</f>
        <v>0.2336165575397553</v>
      </c>
      <c r="C48" s="177" t="s">
        <v>3</v>
      </c>
      <c r="D48" s="43"/>
    </row>
    <row r="49" spans="1:10" ht="15" x14ac:dyDescent="0.2">
      <c r="A49" s="182" t="s">
        <v>283</v>
      </c>
      <c r="B49" s="183"/>
      <c r="C49" s="177"/>
      <c r="D49" s="43"/>
    </row>
    <row r="50" spans="1:10" x14ac:dyDescent="0.2">
      <c r="A50" s="181" t="s">
        <v>284</v>
      </c>
      <c r="B50" s="42">
        <v>0.6</v>
      </c>
      <c r="C50" s="56" t="s">
        <v>3</v>
      </c>
      <c r="D50" s="43"/>
    </row>
    <row r="51" spans="1:10" x14ac:dyDescent="0.2">
      <c r="A51" s="181" t="s">
        <v>285</v>
      </c>
      <c r="B51" s="324">
        <f>B47-B36-(B38+B40)-B48-B50</f>
        <v>2.5155299595572091</v>
      </c>
      <c r="C51" s="56" t="s">
        <v>3</v>
      </c>
      <c r="D51" s="43"/>
    </row>
    <row r="52" spans="1:10" ht="38.25" x14ac:dyDescent="0.2">
      <c r="A52" s="179" t="s">
        <v>477</v>
      </c>
      <c r="B52" s="56"/>
      <c r="C52" s="56"/>
      <c r="D52" s="43"/>
    </row>
    <row r="53" spans="1:10" x14ac:dyDescent="0.2">
      <c r="A53" s="43" t="s">
        <v>286</v>
      </c>
      <c r="B53" s="56"/>
      <c r="C53" s="56"/>
      <c r="D53" s="43"/>
      <c r="F53" s="43" t="s">
        <v>287</v>
      </c>
      <c r="G53" s="43"/>
      <c r="H53" s="43">
        <v>1E-3</v>
      </c>
      <c r="I53" s="43" t="s">
        <v>288</v>
      </c>
      <c r="J53" s="184"/>
    </row>
    <row r="54" spans="1:10" x14ac:dyDescent="0.2">
      <c r="A54" s="43" t="s">
        <v>289</v>
      </c>
      <c r="B54" s="42">
        <f>B47</f>
        <v>7.3116994000000011</v>
      </c>
      <c r="C54" s="56" t="s">
        <v>3</v>
      </c>
      <c r="D54" s="43"/>
      <c r="F54" s="43" t="s">
        <v>290</v>
      </c>
      <c r="G54" s="43"/>
      <c r="H54" s="43">
        <v>10</v>
      </c>
      <c r="I54" s="43" t="s">
        <v>3</v>
      </c>
      <c r="J54" s="184"/>
    </row>
    <row r="55" spans="1:10" x14ac:dyDescent="0.2">
      <c r="A55" s="43" t="s">
        <v>291</v>
      </c>
      <c r="B55" s="42">
        <f>B48</f>
        <v>0.2336165575397553</v>
      </c>
      <c r="C55" s="56" t="s">
        <v>3</v>
      </c>
      <c r="D55" s="43"/>
      <c r="F55" s="43" t="s">
        <v>292</v>
      </c>
      <c r="G55" s="43"/>
      <c r="H55" s="43">
        <f>H53*H54</f>
        <v>0.01</v>
      </c>
      <c r="I55" s="43" t="s">
        <v>3</v>
      </c>
      <c r="J55" s="184"/>
    </row>
    <row r="56" spans="1:10" x14ac:dyDescent="0.2">
      <c r="A56" s="43" t="s">
        <v>293</v>
      </c>
      <c r="B56" s="56">
        <v>0.998</v>
      </c>
      <c r="C56" s="56" t="s">
        <v>3</v>
      </c>
      <c r="D56" s="43"/>
    </row>
    <row r="57" spans="1:10" x14ac:dyDescent="0.2">
      <c r="A57" s="43" t="s">
        <v>294</v>
      </c>
      <c r="B57" s="56">
        <v>9.81</v>
      </c>
      <c r="C57" s="56" t="s">
        <v>3</v>
      </c>
      <c r="D57" s="43"/>
    </row>
    <row r="58" spans="1:10" x14ac:dyDescent="0.2">
      <c r="A58" s="43" t="s">
        <v>295</v>
      </c>
      <c r="B58" s="322">
        <f>(B47-B48)/(B56*B57)</f>
        <v>0.72296303539395257</v>
      </c>
      <c r="C58" s="56" t="s">
        <v>3</v>
      </c>
      <c r="D58" s="43"/>
    </row>
    <row r="59" spans="1:10" x14ac:dyDescent="0.2">
      <c r="A59" s="43" t="s">
        <v>296</v>
      </c>
      <c r="B59" s="324">
        <f>B58-B50</f>
        <v>0.12296303539395259</v>
      </c>
      <c r="C59" s="56" t="s">
        <v>3</v>
      </c>
      <c r="D59" s="43"/>
    </row>
    <row r="60" spans="1:10" x14ac:dyDescent="0.2">
      <c r="A60" s="43" t="s">
        <v>297</v>
      </c>
      <c r="B60" s="185" t="str">
        <f>IF(B59&lt;B51, "Ok!","Not ok!")</f>
        <v>Ok!</v>
      </c>
      <c r="C60" s="56"/>
      <c r="D60" s="43" t="s">
        <v>298</v>
      </c>
    </row>
    <row r="61" spans="1:10" x14ac:dyDescent="0.2">
      <c r="A61" s="40" t="s">
        <v>506</v>
      </c>
      <c r="B61" s="185" t="str">
        <f>IF(B51&gt;2,"Ok!","Not ok")</f>
        <v>Ok!</v>
      </c>
      <c r="D61" s="43"/>
    </row>
    <row r="62" spans="1:10" x14ac:dyDescent="0.2">
      <c r="A62" s="168" t="s">
        <v>576</v>
      </c>
      <c r="B62" s="56"/>
      <c r="C62" s="56"/>
      <c r="D62" s="43"/>
    </row>
    <row r="63" spans="1:10" x14ac:dyDescent="0.2">
      <c r="A63" s="43" t="s">
        <v>259</v>
      </c>
      <c r="B63" s="56" t="s">
        <v>299</v>
      </c>
      <c r="C63" s="56"/>
      <c r="D63" s="43"/>
      <c r="E63" s="40" t="s">
        <v>1</v>
      </c>
    </row>
    <row r="64" spans="1:10" x14ac:dyDescent="0.2">
      <c r="A64" s="43" t="s">
        <v>300</v>
      </c>
      <c r="B64" s="323">
        <v>120</v>
      </c>
      <c r="C64" s="56" t="s">
        <v>3</v>
      </c>
      <c r="D64" s="43"/>
    </row>
    <row r="65" spans="1:4" x14ac:dyDescent="0.2">
      <c r="A65" s="43" t="s">
        <v>478</v>
      </c>
      <c r="B65" s="169">
        <f>B23</f>
        <v>2549.5</v>
      </c>
      <c r="C65" s="56" t="s">
        <v>3</v>
      </c>
      <c r="D65" s="43"/>
    </row>
    <row r="66" spans="1:4" x14ac:dyDescent="0.2">
      <c r="A66" s="43" t="s">
        <v>301</v>
      </c>
      <c r="B66" s="326">
        <f>B65-B28</f>
        <v>34.249500000000353</v>
      </c>
      <c r="C66" s="56" t="s">
        <v>3</v>
      </c>
      <c r="D66" s="43"/>
    </row>
    <row r="67" spans="1:4" x14ac:dyDescent="0.2">
      <c r="A67" s="43" t="s">
        <v>302</v>
      </c>
      <c r="B67" s="169">
        <v>2</v>
      </c>
      <c r="C67" s="56" t="s">
        <v>14</v>
      </c>
      <c r="D67" s="43"/>
    </row>
    <row r="68" spans="1:4" x14ac:dyDescent="0.2">
      <c r="A68" s="43" t="s">
        <v>507</v>
      </c>
      <c r="B68" s="320">
        <f>2*B31</f>
        <v>0.15115462761680004</v>
      </c>
      <c r="C68" s="56" t="s">
        <v>13</v>
      </c>
      <c r="D68" s="43"/>
    </row>
    <row r="69" spans="1:4" x14ac:dyDescent="0.2">
      <c r="A69" s="43" t="s">
        <v>269</v>
      </c>
      <c r="B69" s="172">
        <f>SQRT((4*B68)/(PI()*B67))</f>
        <v>0.31020642260551889</v>
      </c>
      <c r="C69" s="56" t="s">
        <v>3</v>
      </c>
      <c r="D69" s="43"/>
    </row>
    <row r="70" spans="1:4" x14ac:dyDescent="0.2">
      <c r="A70" s="43" t="s">
        <v>303</v>
      </c>
      <c r="B70" s="173">
        <f>CEILING(B69,0.05)</f>
        <v>0.35000000000000003</v>
      </c>
      <c r="C70" s="56" t="s">
        <v>3</v>
      </c>
      <c r="D70" s="43"/>
    </row>
    <row r="71" spans="1:4" x14ac:dyDescent="0.2">
      <c r="A71" s="43" t="s">
        <v>304</v>
      </c>
      <c r="B71" s="174">
        <f>B67^2/(2*9.81)</f>
        <v>0.2038735983690112</v>
      </c>
      <c r="C71" s="56" t="s">
        <v>3</v>
      </c>
      <c r="D71" s="43"/>
    </row>
    <row r="72" spans="1:4" x14ac:dyDescent="0.2">
      <c r="A72" s="43" t="s">
        <v>305</v>
      </c>
      <c r="B72" s="42">
        <f>0.8*B67^2/(2*9.81)</f>
        <v>0.16309887869520898</v>
      </c>
      <c r="C72" s="56" t="s">
        <v>3</v>
      </c>
      <c r="D72" s="43"/>
    </row>
    <row r="73" spans="1:4" x14ac:dyDescent="0.2">
      <c r="A73" s="43" t="s">
        <v>306</v>
      </c>
      <c r="B73" s="56">
        <v>140</v>
      </c>
      <c r="C73" s="40"/>
      <c r="D73" s="43" t="s">
        <v>479</v>
      </c>
    </row>
    <row r="74" spans="1:4" ht="22.5" customHeight="1" x14ac:dyDescent="0.2">
      <c r="A74" s="175" t="s">
        <v>272</v>
      </c>
      <c r="B74" s="176">
        <f>(6.811*B64*B67^1.852)/(B73^1.852*B70^1.17)</f>
        <v>1.0683435794734013</v>
      </c>
      <c r="C74" s="177" t="s">
        <v>3</v>
      </c>
      <c r="D74" s="43"/>
    </row>
    <row r="75" spans="1:4" x14ac:dyDescent="0.2">
      <c r="A75" s="43" t="s">
        <v>307</v>
      </c>
      <c r="B75" s="174">
        <f>1*B67^2/(2*9.81)</f>
        <v>0.2038735983690112</v>
      </c>
      <c r="C75" s="177" t="s">
        <v>3</v>
      </c>
      <c r="D75" s="43"/>
    </row>
    <row r="76" spans="1:4" x14ac:dyDescent="0.2">
      <c r="A76" s="43" t="s">
        <v>308</v>
      </c>
      <c r="B76" s="174">
        <f>3*0.19*B67^2/(2*9.81)</f>
        <v>0.11620795107033639</v>
      </c>
      <c r="C76" s="56" t="s">
        <v>3</v>
      </c>
      <c r="D76" s="43" t="s">
        <v>309</v>
      </c>
    </row>
    <row r="77" spans="1:4" x14ac:dyDescent="0.2">
      <c r="A77" s="43" t="s">
        <v>310</v>
      </c>
      <c r="B77" s="174">
        <f>SUM(B71,B72,B74,B76)</f>
        <v>1.5515240076079579</v>
      </c>
      <c r="C77" s="56" t="s">
        <v>3</v>
      </c>
      <c r="D77" s="43" t="s">
        <v>311</v>
      </c>
    </row>
    <row r="78" spans="1:4" x14ac:dyDescent="0.2">
      <c r="A78" s="43" t="s">
        <v>312</v>
      </c>
      <c r="B78" s="325">
        <f>SUM(B66,B77)</f>
        <v>35.801024007608312</v>
      </c>
      <c r="C78" s="56" t="s">
        <v>3</v>
      </c>
      <c r="D78" s="43"/>
    </row>
    <row r="79" spans="1:4" x14ac:dyDescent="0.2">
      <c r="A79" s="40" t="s">
        <v>313</v>
      </c>
      <c r="B79" s="186">
        <f>SUM(B44,B78)</f>
        <v>39.062374036280971</v>
      </c>
      <c r="C79" s="56" t="s">
        <v>3</v>
      </c>
      <c r="D79" s="43" t="s">
        <v>314</v>
      </c>
    </row>
    <row r="80" spans="1:4" x14ac:dyDescent="0.2">
      <c r="A80" s="187" t="s">
        <v>315</v>
      </c>
      <c r="B80" s="188">
        <f>CEILING(B79,5)</f>
        <v>40</v>
      </c>
      <c r="C80" s="56" t="s">
        <v>3</v>
      </c>
      <c r="D80" s="43"/>
    </row>
    <row r="81" spans="1:9" x14ac:dyDescent="0.2">
      <c r="A81" s="425" t="s">
        <v>581</v>
      </c>
      <c r="B81" s="56"/>
      <c r="C81" s="56"/>
      <c r="D81" s="43"/>
    </row>
    <row r="82" spans="1:9" ht="14.25" x14ac:dyDescent="0.25">
      <c r="A82" s="43" t="s">
        <v>316</v>
      </c>
      <c r="B82" s="56"/>
      <c r="C82" s="56" t="s">
        <v>317</v>
      </c>
      <c r="D82" s="43"/>
    </row>
    <row r="83" spans="1:9" ht="14.25" x14ac:dyDescent="0.25">
      <c r="A83" s="43" t="s">
        <v>318</v>
      </c>
      <c r="B83" s="373">
        <f>B80</f>
        <v>40</v>
      </c>
      <c r="C83" s="56"/>
      <c r="D83" s="43"/>
      <c r="G83" s="189" t="s">
        <v>319</v>
      </c>
      <c r="H83" s="190">
        <v>0.8</v>
      </c>
      <c r="I83" s="191" t="s">
        <v>317</v>
      </c>
    </row>
    <row r="84" spans="1:9" x14ac:dyDescent="0.2">
      <c r="A84" s="43" t="s">
        <v>320</v>
      </c>
      <c r="B84" s="373">
        <f>B31*1000</f>
        <v>75.577313808400021</v>
      </c>
      <c r="C84" s="56"/>
      <c r="D84" s="43"/>
      <c r="G84" s="192" t="s">
        <v>321</v>
      </c>
      <c r="H84" s="190">
        <v>1.34</v>
      </c>
      <c r="I84" s="191" t="s">
        <v>322</v>
      </c>
    </row>
    <row r="85" spans="1:9" x14ac:dyDescent="0.2">
      <c r="A85" s="43" t="s">
        <v>323</v>
      </c>
      <c r="B85" s="169">
        <f>CEILING((B31*B80*1000)/(102*'O&amp;M Costs of pump'!J9*'O&amp;M Costs of pump'!K9),5)</f>
        <v>50</v>
      </c>
      <c r="C85" s="56" t="s">
        <v>317</v>
      </c>
      <c r="D85" s="43"/>
      <c r="G85" s="193" t="s">
        <v>319</v>
      </c>
      <c r="H85" s="194">
        <f>H84*H83</f>
        <v>1.0720000000000001</v>
      </c>
      <c r="I85" s="195" t="s">
        <v>322</v>
      </c>
    </row>
    <row r="86" spans="1:9" ht="14.25" x14ac:dyDescent="0.25">
      <c r="A86" s="43" t="s">
        <v>324</v>
      </c>
      <c r="B86" s="56"/>
      <c r="C86" s="56"/>
      <c r="D86" s="43"/>
    </row>
    <row r="87" spans="1:9" ht="14.25" x14ac:dyDescent="0.25">
      <c r="A87" s="43" t="s">
        <v>325</v>
      </c>
      <c r="B87" s="42">
        <f>'O&amp;M Costs of pump'!L10</f>
        <v>0.48999999999999994</v>
      </c>
      <c r="C87" s="56"/>
      <c r="D87" s="43" t="s">
        <v>512</v>
      </c>
    </row>
    <row r="88" spans="1:9" x14ac:dyDescent="0.2">
      <c r="A88" s="43"/>
      <c r="B88" s="42">
        <f>'O&amp;M Costs of pump'!L9</f>
        <v>0.59499999999999997</v>
      </c>
      <c r="C88" s="56"/>
      <c r="D88" s="43" t="s">
        <v>326</v>
      </c>
    </row>
    <row r="89" spans="1:9" x14ac:dyDescent="0.2">
      <c r="A89" s="43" t="s">
        <v>327</v>
      </c>
      <c r="B89" s="169">
        <f>CEILING((B31*B80*1000)/(102*'O&amp;M Costs of pump'!J9*'O&amp;M Costs of pump'!K9),5)</f>
        <v>50</v>
      </c>
      <c r="C89" s="56" t="s">
        <v>317</v>
      </c>
      <c r="D89" s="43" t="s">
        <v>326</v>
      </c>
    </row>
    <row r="90" spans="1:9" x14ac:dyDescent="0.2">
      <c r="A90" s="187"/>
      <c r="B90" s="169">
        <f>CEILING((B31*B80*1000)/(102*'O&amp;M Costs of pump'!J10*'O&amp;M Costs of pump'!K10),5)</f>
        <v>65</v>
      </c>
      <c r="C90" s="56" t="s">
        <v>317</v>
      </c>
      <c r="D90" s="43" t="s">
        <v>512</v>
      </c>
    </row>
    <row r="91" spans="1:9" x14ac:dyDescent="0.2">
      <c r="A91" s="43" t="s">
        <v>328</v>
      </c>
      <c r="B91" s="169">
        <f>CEILING((B31*B80*1000)/(75*'O&amp;M Costs of pump'!J9*'O&amp;M Costs of pump'!K9),5)</f>
        <v>70</v>
      </c>
      <c r="C91" s="56" t="s">
        <v>322</v>
      </c>
      <c r="D91" s="43" t="s">
        <v>326</v>
      </c>
    </row>
    <row r="92" spans="1:9" x14ac:dyDescent="0.2">
      <c r="A92" s="187"/>
      <c r="B92" s="169">
        <f>CEILING((B31*B80*1000)/(75*'O&amp;M Costs of pump'!J10*'O&amp;M Costs of pump'!K10),5)</f>
        <v>85</v>
      </c>
      <c r="C92" s="56" t="s">
        <v>322</v>
      </c>
      <c r="D92" s="43" t="s">
        <v>512</v>
      </c>
    </row>
    <row r="93" spans="1:9" x14ac:dyDescent="0.2">
      <c r="A93" s="424" t="s">
        <v>582</v>
      </c>
      <c r="B93" s="56"/>
      <c r="C93" s="56"/>
      <c r="D93" s="43"/>
    </row>
    <row r="94" spans="1:9" ht="39.75" customHeight="1" x14ac:dyDescent="0.2">
      <c r="A94" s="442" t="s">
        <v>518</v>
      </c>
      <c r="B94" s="442"/>
      <c r="C94" s="442"/>
      <c r="D94" s="442"/>
    </row>
    <row r="95" spans="1:9" s="184" customFormat="1" x14ac:dyDescent="0.2">
      <c r="A95" s="196"/>
      <c r="B95" s="196"/>
      <c r="C95" s="196"/>
      <c r="D95" s="196"/>
    </row>
    <row r="96" spans="1:9" ht="13.5" thickBot="1" x14ac:dyDescent="0.25">
      <c r="A96" s="197" t="s">
        <v>329</v>
      </c>
      <c r="B96" s="198"/>
      <c r="C96" s="198"/>
      <c r="D96" s="184"/>
      <c r="E96" s="184"/>
      <c r="F96" s="184"/>
      <c r="G96" s="184"/>
    </row>
    <row r="97" spans="2:13" x14ac:dyDescent="0.2">
      <c r="D97" s="443" t="s">
        <v>330</v>
      </c>
      <c r="E97" s="445" t="s">
        <v>331</v>
      </c>
      <c r="F97" s="446"/>
      <c r="G97" s="447"/>
      <c r="H97" s="445" t="s">
        <v>332</v>
      </c>
      <c r="I97" s="446"/>
      <c r="J97" s="447"/>
      <c r="K97" s="448" t="s">
        <v>333</v>
      </c>
    </row>
    <row r="98" spans="2:13" ht="13.5" thickBot="1" x14ac:dyDescent="0.25">
      <c r="D98" s="444"/>
      <c r="E98" s="199" t="s">
        <v>334</v>
      </c>
      <c r="F98" s="200" t="s">
        <v>335</v>
      </c>
      <c r="G98" s="201" t="s">
        <v>336</v>
      </c>
      <c r="H98" s="202" t="s">
        <v>334</v>
      </c>
      <c r="I98" s="203" t="s">
        <v>335</v>
      </c>
      <c r="J98" s="204" t="s">
        <v>336</v>
      </c>
      <c r="K98" s="449"/>
    </row>
    <row r="99" spans="2:13" ht="13.5" thickBot="1" x14ac:dyDescent="0.25">
      <c r="D99" s="450" t="s">
        <v>337</v>
      </c>
      <c r="E99" s="451"/>
      <c r="F99" s="451"/>
      <c r="G99" s="451"/>
      <c r="H99" s="451"/>
      <c r="I99" s="451"/>
      <c r="J99" s="451"/>
      <c r="K99" s="452"/>
    </row>
    <row r="100" spans="2:13" x14ac:dyDescent="0.2">
      <c r="D100" s="205" t="s">
        <v>338</v>
      </c>
      <c r="E100" s="206" t="s">
        <v>339</v>
      </c>
      <c r="F100" s="207" t="s">
        <v>18</v>
      </c>
      <c r="G100" s="208" t="s">
        <v>339</v>
      </c>
      <c r="H100" s="209">
        <v>5</v>
      </c>
      <c r="I100" s="210">
        <v>0</v>
      </c>
      <c r="J100" s="211">
        <v>5</v>
      </c>
      <c r="K100" s="212">
        <f>SUM(H100:J100)</f>
        <v>10</v>
      </c>
    </row>
    <row r="101" spans="2:13" x14ac:dyDescent="0.2">
      <c r="D101" s="213" t="s">
        <v>340</v>
      </c>
      <c r="E101" s="214" t="s">
        <v>18</v>
      </c>
      <c r="F101" s="215" t="s">
        <v>339</v>
      </c>
      <c r="G101" s="216" t="s">
        <v>339</v>
      </c>
      <c r="H101" s="217">
        <v>0</v>
      </c>
      <c r="I101" s="218">
        <v>5</v>
      </c>
      <c r="J101" s="219">
        <v>5</v>
      </c>
      <c r="K101" s="220">
        <f t="shared" ref="K101" si="0">SUM(H101:J101)</f>
        <v>10</v>
      </c>
    </row>
    <row r="102" spans="2:13" ht="13.5" thickBot="1" x14ac:dyDescent="0.25">
      <c r="D102" s="221" t="s">
        <v>341</v>
      </c>
      <c r="E102" s="222" t="s">
        <v>342</v>
      </c>
      <c r="F102" s="223" t="s">
        <v>342</v>
      </c>
      <c r="G102" s="224" t="s">
        <v>343</v>
      </c>
      <c r="H102" s="225" t="s">
        <v>344</v>
      </c>
      <c r="I102" s="223" t="s">
        <v>344</v>
      </c>
      <c r="J102" s="224" t="s">
        <v>345</v>
      </c>
      <c r="K102" s="226" t="s">
        <v>346</v>
      </c>
    </row>
    <row r="103" spans="2:13" ht="13.5" thickBot="1" x14ac:dyDescent="0.25">
      <c r="D103" s="430" t="s">
        <v>347</v>
      </c>
      <c r="E103" s="431"/>
      <c r="F103" s="431"/>
      <c r="G103" s="431"/>
      <c r="H103" s="431"/>
      <c r="I103" s="431"/>
      <c r="J103" s="431"/>
      <c r="K103" s="432"/>
    </row>
    <row r="104" spans="2:13" x14ac:dyDescent="0.2">
      <c r="D104" s="205" t="s">
        <v>338</v>
      </c>
      <c r="E104" s="206" t="s">
        <v>339</v>
      </c>
      <c r="F104" s="227" t="s">
        <v>339</v>
      </c>
      <c r="G104" s="228" t="s">
        <v>18</v>
      </c>
      <c r="H104" s="229">
        <v>5</v>
      </c>
      <c r="I104" s="210">
        <v>5</v>
      </c>
      <c r="J104" s="211">
        <v>0</v>
      </c>
      <c r="K104" s="212">
        <f>SUM(H104:J104)</f>
        <v>10</v>
      </c>
    </row>
    <row r="105" spans="2:13" x14ac:dyDescent="0.2">
      <c r="D105" s="213" t="s">
        <v>340</v>
      </c>
      <c r="E105" s="230" t="s">
        <v>339</v>
      </c>
      <c r="F105" s="231" t="s">
        <v>18</v>
      </c>
      <c r="G105" s="216" t="s">
        <v>339</v>
      </c>
      <c r="H105" s="214">
        <v>5</v>
      </c>
      <c r="I105" s="218">
        <v>0</v>
      </c>
      <c r="J105" s="219">
        <v>5</v>
      </c>
      <c r="K105" s="220">
        <f t="shared" ref="K105" si="1">SUM(H105:J105)</f>
        <v>10</v>
      </c>
    </row>
    <row r="106" spans="2:13" ht="13.5" thickBot="1" x14ac:dyDescent="0.25">
      <c r="B106" s="40"/>
      <c r="C106" s="40"/>
      <c r="D106" s="221" t="s">
        <v>341</v>
      </c>
      <c r="E106" s="222" t="s">
        <v>343</v>
      </c>
      <c r="F106" s="223" t="s">
        <v>343</v>
      </c>
      <c r="G106" s="224" t="s">
        <v>342</v>
      </c>
      <c r="H106" s="222" t="s">
        <v>345</v>
      </c>
      <c r="I106" s="232" t="s">
        <v>348</v>
      </c>
      <c r="J106" s="233" t="s">
        <v>344</v>
      </c>
      <c r="K106" s="226" t="s">
        <v>346</v>
      </c>
    </row>
    <row r="107" spans="2:13" ht="13.5" thickBot="1" x14ac:dyDescent="0.25">
      <c r="B107" s="40"/>
      <c r="C107" s="40"/>
      <c r="D107" s="433" t="s">
        <v>349</v>
      </c>
      <c r="E107" s="434"/>
      <c r="F107" s="434"/>
      <c r="G107" s="434"/>
      <c r="H107" s="434"/>
      <c r="I107" s="434"/>
      <c r="J107" s="434"/>
      <c r="K107" s="435"/>
    </row>
    <row r="108" spans="2:13" x14ac:dyDescent="0.2">
      <c r="B108" s="40"/>
      <c r="C108" s="40"/>
      <c r="D108" s="234" t="s">
        <v>338</v>
      </c>
      <c r="E108" s="206" t="s">
        <v>339</v>
      </c>
      <c r="F108" s="227" t="s">
        <v>339</v>
      </c>
      <c r="G108" s="228" t="s">
        <v>18</v>
      </c>
      <c r="H108" s="229">
        <v>5</v>
      </c>
      <c r="I108" s="210">
        <v>5</v>
      </c>
      <c r="J108" s="235">
        <v>0</v>
      </c>
      <c r="K108" s="236">
        <f>SUM(H108:J108)</f>
        <v>10</v>
      </c>
      <c r="M108" s="40" t="s">
        <v>1</v>
      </c>
    </row>
    <row r="109" spans="2:13" x14ac:dyDescent="0.2">
      <c r="B109" s="40"/>
      <c r="C109" s="40"/>
      <c r="D109" s="237" t="s">
        <v>340</v>
      </c>
      <c r="E109" s="214" t="s">
        <v>18</v>
      </c>
      <c r="F109" s="215" t="s">
        <v>339</v>
      </c>
      <c r="G109" s="216" t="s">
        <v>339</v>
      </c>
      <c r="H109" s="214">
        <v>0</v>
      </c>
      <c r="I109" s="218">
        <v>5</v>
      </c>
      <c r="J109" s="238">
        <v>5</v>
      </c>
      <c r="K109" s="239">
        <f t="shared" ref="K109" si="2">SUM(H109:J109)</f>
        <v>10</v>
      </c>
    </row>
    <row r="110" spans="2:13" ht="13.5" thickBot="1" x14ac:dyDescent="0.25">
      <c r="B110" s="40"/>
      <c r="C110" s="40"/>
      <c r="D110" s="240" t="s">
        <v>341</v>
      </c>
      <c r="E110" s="222" t="s">
        <v>342</v>
      </c>
      <c r="F110" s="223" t="s">
        <v>343</v>
      </c>
      <c r="G110" s="224" t="s">
        <v>342</v>
      </c>
      <c r="H110" s="222" t="s">
        <v>344</v>
      </c>
      <c r="I110" s="232" t="s">
        <v>345</v>
      </c>
      <c r="J110" s="241" t="s">
        <v>344</v>
      </c>
      <c r="K110" s="242" t="s">
        <v>346</v>
      </c>
    </row>
    <row r="111" spans="2:13" ht="13.5" thickBot="1" x14ac:dyDescent="0.25">
      <c r="B111" s="40"/>
      <c r="C111" s="40"/>
      <c r="D111" s="436" t="s">
        <v>350</v>
      </c>
      <c r="E111" s="437"/>
      <c r="F111" s="437"/>
      <c r="G111" s="437"/>
      <c r="H111" s="437"/>
      <c r="I111" s="437"/>
      <c r="J111" s="437"/>
      <c r="K111" s="438"/>
    </row>
    <row r="112" spans="2:13" ht="15.75" customHeight="1" thickBot="1" x14ac:dyDescent="0.25">
      <c r="B112" s="40"/>
      <c r="C112" s="40"/>
      <c r="D112" s="439" t="s">
        <v>519</v>
      </c>
      <c r="E112" s="440"/>
      <c r="F112" s="440"/>
      <c r="G112" s="440"/>
      <c r="H112" s="440"/>
      <c r="I112" s="440"/>
      <c r="J112" s="440"/>
      <c r="K112" s="441"/>
    </row>
  </sheetData>
  <mergeCells count="10">
    <mergeCell ref="D103:K103"/>
    <mergeCell ref="D107:K107"/>
    <mergeCell ref="D111:K111"/>
    <mergeCell ref="D112:K112"/>
    <mergeCell ref="A94:D94"/>
    <mergeCell ref="D97:D98"/>
    <mergeCell ref="E97:G97"/>
    <mergeCell ref="H97:J97"/>
    <mergeCell ref="K97:K98"/>
    <mergeCell ref="D99:K99"/>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529409" r:id="rId4">
          <objectPr defaultSize="0" autoPict="0" r:id="rId5">
            <anchor moveWithCells="1" sizeWithCells="1">
              <from>
                <xdr:col>0</xdr:col>
                <xdr:colOff>2609850</xdr:colOff>
                <xdr:row>35</xdr:row>
                <xdr:rowOff>28575</xdr:rowOff>
              </from>
              <to>
                <xdr:col>0</xdr:col>
                <xdr:colOff>3933825</xdr:colOff>
                <xdr:row>36</xdr:row>
                <xdr:rowOff>0</xdr:rowOff>
              </to>
            </anchor>
          </objectPr>
        </oleObject>
      </mc:Choice>
      <mc:Fallback>
        <oleObject progId="Equation.3" shapeId="529409" r:id="rId4"/>
      </mc:Fallback>
    </mc:AlternateContent>
    <mc:AlternateContent xmlns:mc="http://schemas.openxmlformats.org/markup-compatibility/2006">
      <mc:Choice Requires="x14">
        <oleObject progId="Equation.3" shapeId="529410" r:id="rId6">
          <objectPr defaultSize="0" autoPict="0" r:id="rId7">
            <anchor moveWithCells="1" sizeWithCells="1">
              <from>
                <xdr:col>0</xdr:col>
                <xdr:colOff>2590800</xdr:colOff>
                <xdr:row>73</xdr:row>
                <xdr:rowOff>19050</xdr:rowOff>
              </from>
              <to>
                <xdr:col>0</xdr:col>
                <xdr:colOff>3914775</xdr:colOff>
                <xdr:row>74</xdr:row>
                <xdr:rowOff>0</xdr:rowOff>
              </to>
            </anchor>
          </objectPr>
        </oleObject>
      </mc:Choice>
      <mc:Fallback>
        <oleObject progId="Equation.3" shapeId="529410"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51"/>
  <sheetViews>
    <sheetView workbookViewId="0">
      <selection activeCell="I17" sqref="I17"/>
    </sheetView>
  </sheetViews>
  <sheetFormatPr defaultColWidth="8.85546875" defaultRowHeight="12" x14ac:dyDescent="0.2"/>
  <cols>
    <col min="1" max="1" width="40.28515625" style="246" bestFit="1" customWidth="1"/>
    <col min="2" max="2" width="9" style="246" bestFit="1" customWidth="1"/>
    <col min="3" max="3" width="8.140625" style="258" bestFit="1" customWidth="1"/>
    <col min="4" max="4" width="22.5703125" style="246" bestFit="1" customWidth="1"/>
    <col min="5" max="5" width="7.7109375" style="246" bestFit="1" customWidth="1"/>
    <col min="6" max="6" width="3.85546875" style="246" customWidth="1"/>
    <col min="7" max="7" width="10" style="246" bestFit="1" customWidth="1"/>
    <col min="8" max="8" width="6.7109375" style="246" customWidth="1"/>
    <col min="9" max="9" width="6.140625" style="246" customWidth="1"/>
    <col min="10" max="10" width="5.7109375" style="246" customWidth="1"/>
    <col min="11" max="11" width="5.5703125" style="246" customWidth="1"/>
    <col min="12" max="16384" width="8.85546875" style="246"/>
  </cols>
  <sheetData>
    <row r="1" spans="1:15" x14ac:dyDescent="0.2">
      <c r="A1" s="244" t="s">
        <v>4</v>
      </c>
      <c r="B1" s="244" t="s">
        <v>38</v>
      </c>
      <c r="C1" s="245" t="s">
        <v>16</v>
      </c>
      <c r="D1" s="455" t="s">
        <v>0</v>
      </c>
      <c r="E1" s="456"/>
    </row>
    <row r="2" spans="1:15" ht="16.899999999999999" customHeight="1" x14ac:dyDescent="0.2">
      <c r="A2" s="247" t="s">
        <v>352</v>
      </c>
      <c r="B2" s="248">
        <f>'Design of pump'!B12*1000/2</f>
        <v>75.577313808400021</v>
      </c>
      <c r="C2" s="249" t="s">
        <v>23</v>
      </c>
      <c r="D2" s="327">
        <f>B2/1000</f>
        <v>7.5577313808400021E-2</v>
      </c>
      <c r="E2" s="251" t="s">
        <v>353</v>
      </c>
    </row>
    <row r="3" spans="1:15" ht="12.75" customHeight="1" x14ac:dyDescent="0.2">
      <c r="A3" s="247" t="s">
        <v>483</v>
      </c>
      <c r="B3" s="248">
        <v>2</v>
      </c>
      <c r="C3" s="249"/>
      <c r="D3" s="327"/>
      <c r="E3" s="251"/>
    </row>
    <row r="4" spans="1:15" ht="12.75" customHeight="1" x14ac:dyDescent="0.2">
      <c r="A4" s="250" t="s">
        <v>354</v>
      </c>
      <c r="B4" s="251"/>
      <c r="C4" s="249"/>
      <c r="D4" s="332">
        <f>'Design of pump'!B80</f>
        <v>40</v>
      </c>
      <c r="E4" s="251" t="s">
        <v>3</v>
      </c>
    </row>
    <row r="5" spans="1:15" x14ac:dyDescent="0.2">
      <c r="A5" s="251"/>
      <c r="B5" s="251"/>
      <c r="C5" s="249"/>
      <c r="D5" s="328"/>
      <c r="E5" s="251"/>
    </row>
    <row r="6" spans="1:15" x14ac:dyDescent="0.2">
      <c r="A6" s="252" t="s">
        <v>355</v>
      </c>
      <c r="B6" s="253">
        <f>CEILING((B2*D4)/(102*J9*K9),5)</f>
        <v>50</v>
      </c>
      <c r="C6" s="254" t="s">
        <v>317</v>
      </c>
      <c r="D6" s="342">
        <f>1.34102*B6</f>
        <v>67.051000000000002</v>
      </c>
      <c r="E6" s="250" t="s">
        <v>358</v>
      </c>
      <c r="G6" s="255" t="s">
        <v>356</v>
      </c>
    </row>
    <row r="7" spans="1:15" x14ac:dyDescent="0.2">
      <c r="A7" s="250" t="s">
        <v>357</v>
      </c>
      <c r="B7" s="253">
        <f>CEILING((B2*D4)/(102*J10*K10),5)</f>
        <v>65</v>
      </c>
      <c r="C7" s="256" t="s">
        <v>317</v>
      </c>
      <c r="D7" s="342">
        <f>1.34102*B7</f>
        <v>87.166300000000007</v>
      </c>
      <c r="E7" s="250" t="s">
        <v>572</v>
      </c>
      <c r="G7" s="453" t="s">
        <v>359</v>
      </c>
      <c r="H7" s="454" t="s">
        <v>360</v>
      </c>
      <c r="I7" s="454"/>
      <c r="J7" s="454" t="s">
        <v>361</v>
      </c>
      <c r="K7" s="454"/>
      <c r="L7" s="257" t="s">
        <v>362</v>
      </c>
    </row>
    <row r="8" spans="1:15" x14ac:dyDescent="0.2">
      <c r="E8" s="251"/>
      <c r="G8" s="453"/>
      <c r="H8" s="257" t="s">
        <v>363</v>
      </c>
      <c r="I8" s="257" t="s">
        <v>364</v>
      </c>
      <c r="J8" s="257" t="s">
        <v>363</v>
      </c>
      <c r="K8" s="257" t="s">
        <v>364</v>
      </c>
      <c r="L8" s="257" t="s">
        <v>39</v>
      </c>
    </row>
    <row r="9" spans="1:15" x14ac:dyDescent="0.2">
      <c r="A9" s="259" t="s">
        <v>365</v>
      </c>
      <c r="B9" s="260"/>
      <c r="C9" s="261"/>
      <c r="D9" s="260"/>
      <c r="E9" s="251"/>
      <c r="G9" s="251" t="s">
        <v>366</v>
      </c>
      <c r="H9" s="251" t="s">
        <v>367</v>
      </c>
      <c r="I9" s="251" t="s">
        <v>583</v>
      </c>
      <c r="J9" s="262">
        <v>0.7</v>
      </c>
      <c r="K9" s="262">
        <v>0.85</v>
      </c>
      <c r="L9" s="262">
        <f>J9*K9</f>
        <v>0.59499999999999997</v>
      </c>
    </row>
    <row r="10" spans="1:15" x14ac:dyDescent="0.2">
      <c r="A10" s="244" t="s">
        <v>4</v>
      </c>
      <c r="B10" s="244" t="s">
        <v>38</v>
      </c>
      <c r="C10" s="245" t="s">
        <v>16</v>
      </c>
      <c r="D10" s="329" t="s">
        <v>0</v>
      </c>
      <c r="E10" s="251"/>
      <c r="G10" s="251" t="s">
        <v>368</v>
      </c>
      <c r="H10" s="251" t="s">
        <v>367</v>
      </c>
      <c r="I10" s="251" t="s">
        <v>584</v>
      </c>
      <c r="J10" s="262">
        <v>0.7</v>
      </c>
      <c r="K10" s="262">
        <v>0.7</v>
      </c>
      <c r="L10" s="262">
        <f>J10*K10</f>
        <v>0.48999999999999994</v>
      </c>
    </row>
    <row r="11" spans="1:15" x14ac:dyDescent="0.2">
      <c r="A11" s="247" t="s">
        <v>480</v>
      </c>
      <c r="B11" s="263">
        <f>B6</f>
        <v>50</v>
      </c>
      <c r="C11" s="264" t="s">
        <v>317</v>
      </c>
      <c r="D11" s="265" t="s">
        <v>369</v>
      </c>
      <c r="E11" s="251"/>
    </row>
    <row r="12" spans="1:15" x14ac:dyDescent="0.2">
      <c r="A12" s="247" t="s">
        <v>481</v>
      </c>
      <c r="B12" s="263">
        <f>B7</f>
        <v>65</v>
      </c>
      <c r="C12" s="264" t="s">
        <v>317</v>
      </c>
      <c r="D12" s="265" t="s">
        <v>571</v>
      </c>
      <c r="E12" s="251"/>
      <c r="G12" s="265">
        <v>1</v>
      </c>
      <c r="H12" s="266" t="s">
        <v>370</v>
      </c>
      <c r="I12" s="266">
        <f>G12*0.001*3600</f>
        <v>3.6</v>
      </c>
      <c r="J12" s="267" t="s">
        <v>273</v>
      </c>
    </row>
    <row r="13" spans="1:15" x14ac:dyDescent="0.2">
      <c r="A13" s="247" t="s">
        <v>371</v>
      </c>
      <c r="B13" s="247">
        <v>0.8</v>
      </c>
      <c r="C13" s="264" t="s">
        <v>372</v>
      </c>
      <c r="D13" s="265"/>
      <c r="E13" s="251"/>
      <c r="O13" s="246" t="s">
        <v>1</v>
      </c>
    </row>
    <row r="14" spans="1:15" x14ac:dyDescent="0.2">
      <c r="A14" s="247" t="s">
        <v>373</v>
      </c>
      <c r="B14" s="247">
        <v>20</v>
      </c>
      <c r="C14" s="268" t="s">
        <v>374</v>
      </c>
      <c r="D14" s="265" t="s">
        <v>375</v>
      </c>
      <c r="E14" s="251"/>
    </row>
    <row r="15" spans="1:15" x14ac:dyDescent="0.2">
      <c r="A15" s="247" t="s">
        <v>376</v>
      </c>
      <c r="B15" s="247"/>
      <c r="C15" s="264"/>
      <c r="D15" s="265"/>
      <c r="E15" s="251"/>
    </row>
    <row r="16" spans="1:15" x14ac:dyDescent="0.2">
      <c r="A16" s="247" t="s">
        <v>377</v>
      </c>
      <c r="B16" s="269">
        <f>B13*B11</f>
        <v>40</v>
      </c>
      <c r="C16" s="264" t="s">
        <v>378</v>
      </c>
      <c r="D16" s="265"/>
      <c r="E16" s="251"/>
    </row>
    <row r="17" spans="1:5" x14ac:dyDescent="0.2">
      <c r="A17" s="247" t="s">
        <v>379</v>
      </c>
      <c r="B17" s="269">
        <f>B14*B12</f>
        <v>1300</v>
      </c>
      <c r="C17" s="264" t="s">
        <v>378</v>
      </c>
      <c r="D17" s="265"/>
      <c r="E17" s="251"/>
    </row>
    <row r="18" spans="1:5" x14ac:dyDescent="0.2">
      <c r="A18" s="247" t="s">
        <v>380</v>
      </c>
      <c r="B18" s="247">
        <v>11</v>
      </c>
      <c r="C18" s="264" t="s">
        <v>381</v>
      </c>
      <c r="D18" s="265" t="s">
        <v>382</v>
      </c>
      <c r="E18" s="251"/>
    </row>
    <row r="19" spans="1:5" x14ac:dyDescent="0.2">
      <c r="A19" s="247" t="s">
        <v>383</v>
      </c>
      <c r="B19" s="263">
        <f>B12/B18</f>
        <v>5.9090909090909092</v>
      </c>
      <c r="C19" s="264" t="s">
        <v>384</v>
      </c>
      <c r="D19" s="265"/>
      <c r="E19" s="251"/>
    </row>
    <row r="20" spans="1:5" ht="13.5" x14ac:dyDescent="0.2">
      <c r="A20" s="247" t="s">
        <v>385</v>
      </c>
      <c r="B20" s="263">
        <f>B2*I12*B3</f>
        <v>544.1566594204802</v>
      </c>
      <c r="C20" s="264" t="s">
        <v>386</v>
      </c>
      <c r="D20" s="265" t="s">
        <v>387</v>
      </c>
      <c r="E20" s="251" t="s">
        <v>482</v>
      </c>
    </row>
    <row r="21" spans="1:5" x14ac:dyDescent="0.2">
      <c r="A21" s="247" t="s">
        <v>388</v>
      </c>
      <c r="B21" s="270">
        <f>'Design of pump'!B6</f>
        <v>1.8400000000000003</v>
      </c>
      <c r="C21" s="264" t="s">
        <v>251</v>
      </c>
      <c r="D21" s="265" t="s">
        <v>389</v>
      </c>
      <c r="E21" s="251"/>
    </row>
    <row r="22" spans="1:5" x14ac:dyDescent="0.2">
      <c r="A22" s="247" t="s">
        <v>390</v>
      </c>
      <c r="B22" s="271">
        <f>'Design of pump'!B9</f>
        <v>257.49182300000001</v>
      </c>
      <c r="C22" s="264" t="s">
        <v>17</v>
      </c>
      <c r="D22" s="265" t="s">
        <v>391</v>
      </c>
      <c r="E22" s="251"/>
    </row>
    <row r="23" spans="1:5" x14ac:dyDescent="0.2">
      <c r="A23" s="247" t="s">
        <v>392</v>
      </c>
      <c r="B23" s="341">
        <f>CWR!N29</f>
        <v>1.3502438611857361</v>
      </c>
      <c r="C23" s="339" t="s">
        <v>393</v>
      </c>
      <c r="D23" s="330" t="s">
        <v>484</v>
      </c>
      <c r="E23" s="337"/>
    </row>
    <row r="24" spans="1:5" x14ac:dyDescent="0.2">
      <c r="A24" s="247" t="s">
        <v>486</v>
      </c>
      <c r="B24" s="341">
        <f>CWR!N40</f>
        <v>0.35378909252310681</v>
      </c>
      <c r="C24" s="339" t="s">
        <v>393</v>
      </c>
      <c r="D24" s="330"/>
      <c r="E24" s="337"/>
    </row>
    <row r="25" spans="1:5" x14ac:dyDescent="0.2">
      <c r="A25" s="247" t="s">
        <v>394</v>
      </c>
      <c r="B25" s="272">
        <f>B24*1000000/(B22*10000)*1000</f>
        <v>137.39818546513874</v>
      </c>
      <c r="C25" s="264" t="s">
        <v>12</v>
      </c>
      <c r="D25" s="265" t="s">
        <v>395</v>
      </c>
      <c r="E25" s="251"/>
    </row>
    <row r="26" spans="1:5" x14ac:dyDescent="0.2">
      <c r="A26" s="247" t="s">
        <v>396</v>
      </c>
      <c r="B26" s="271">
        <f>B24/B22*1000000</f>
        <v>1373.9818546513875</v>
      </c>
      <c r="C26" s="264" t="s">
        <v>487</v>
      </c>
      <c r="D26" s="265" t="s">
        <v>485</v>
      </c>
      <c r="E26" s="251"/>
    </row>
    <row r="27" spans="1:5" x14ac:dyDescent="0.2">
      <c r="A27" s="247" t="s">
        <v>397</v>
      </c>
      <c r="B27" s="273">
        <f>B24*1000000/B20</f>
        <v>650.16036539897823</v>
      </c>
      <c r="C27" s="264" t="s">
        <v>398</v>
      </c>
      <c r="D27" s="265"/>
      <c r="E27" s="251"/>
    </row>
    <row r="28" spans="1:5" x14ac:dyDescent="0.2">
      <c r="A28" s="247" t="s">
        <v>399</v>
      </c>
      <c r="B28" s="247"/>
      <c r="C28" s="264"/>
      <c r="D28" s="265"/>
      <c r="E28" s="251"/>
    </row>
    <row r="29" spans="1:5" x14ac:dyDescent="0.2">
      <c r="A29" s="247" t="s">
        <v>400</v>
      </c>
      <c r="B29" s="273">
        <f>B27*B16/B22</f>
        <v>100.99899217366264</v>
      </c>
      <c r="C29" s="264" t="s">
        <v>401</v>
      </c>
      <c r="D29" s="265"/>
      <c r="E29" s="251"/>
    </row>
    <row r="30" spans="1:5" x14ac:dyDescent="0.2">
      <c r="A30" s="247" t="s">
        <v>402</v>
      </c>
      <c r="B30" s="273">
        <f>B27*B17/B22</f>
        <v>3282.4672456440362</v>
      </c>
      <c r="C30" s="264" t="s">
        <v>401</v>
      </c>
      <c r="D30" s="265"/>
      <c r="E30" s="251"/>
    </row>
    <row r="31" spans="1:5" x14ac:dyDescent="0.2">
      <c r="A31" s="247" t="s">
        <v>403</v>
      </c>
      <c r="B31" s="247"/>
      <c r="C31" s="264"/>
      <c r="D31" s="265"/>
      <c r="E31" s="251"/>
    </row>
    <row r="32" spans="1:5" x14ac:dyDescent="0.2">
      <c r="A32" s="247" t="s">
        <v>400</v>
      </c>
      <c r="B32" s="273">
        <f>B11*(120*10)</f>
        <v>60000</v>
      </c>
      <c r="C32" s="264" t="s">
        <v>404</v>
      </c>
      <c r="D32" s="340" t="s">
        <v>405</v>
      </c>
      <c r="E32" s="251"/>
    </row>
    <row r="33" spans="1:9" x14ac:dyDescent="0.2">
      <c r="A33" s="247" t="s">
        <v>402</v>
      </c>
      <c r="B33" s="273">
        <f>B12*(135*10)</f>
        <v>87750</v>
      </c>
      <c r="C33" s="264" t="s">
        <v>404</v>
      </c>
      <c r="D33" s="265"/>
      <c r="E33" s="251"/>
    </row>
    <row r="34" spans="1:9" x14ac:dyDescent="0.2">
      <c r="A34" s="247" t="s">
        <v>406</v>
      </c>
      <c r="B34" s="247"/>
      <c r="C34" s="264"/>
      <c r="D34" s="265"/>
      <c r="E34" s="251"/>
    </row>
    <row r="35" spans="1:9" x14ac:dyDescent="0.2">
      <c r="A35" s="247" t="s">
        <v>400</v>
      </c>
      <c r="B35" s="273">
        <f>B32*B13</f>
        <v>48000</v>
      </c>
      <c r="C35" s="264" t="s">
        <v>21</v>
      </c>
      <c r="D35" s="265"/>
      <c r="E35" s="251"/>
    </row>
    <row r="36" spans="1:9" x14ac:dyDescent="0.2">
      <c r="A36" s="247" t="s">
        <v>402</v>
      </c>
      <c r="B36" s="273">
        <f>B33*B14/B18</f>
        <v>159545.45454545456</v>
      </c>
      <c r="C36" s="264" t="s">
        <v>21</v>
      </c>
      <c r="D36" s="265"/>
      <c r="E36" s="251"/>
    </row>
    <row r="37" spans="1:9" x14ac:dyDescent="0.2">
      <c r="A37" s="247" t="s">
        <v>407</v>
      </c>
      <c r="B37" s="273"/>
      <c r="C37" s="264"/>
      <c r="D37" s="265"/>
      <c r="E37" s="251"/>
      <c r="G37" s="274"/>
    </row>
    <row r="38" spans="1:9" x14ac:dyDescent="0.2">
      <c r="A38" s="247" t="s">
        <v>400</v>
      </c>
      <c r="B38" s="273">
        <f>2%*800000</f>
        <v>16000</v>
      </c>
      <c r="C38" s="264" t="s">
        <v>21</v>
      </c>
      <c r="D38" s="265" t="s">
        <v>408</v>
      </c>
      <c r="E38" s="251"/>
    </row>
    <row r="39" spans="1:9" x14ac:dyDescent="0.2">
      <c r="A39" s="247" t="s">
        <v>402</v>
      </c>
      <c r="B39" s="273">
        <f>2%*800000</f>
        <v>16000</v>
      </c>
      <c r="C39" s="264" t="s">
        <v>21</v>
      </c>
      <c r="D39" s="265"/>
      <c r="E39" s="251"/>
    </row>
    <row r="40" spans="1:9" x14ac:dyDescent="0.2">
      <c r="A40" s="247" t="s">
        <v>409</v>
      </c>
      <c r="B40" s="273"/>
      <c r="C40" s="264"/>
      <c r="D40" s="265"/>
      <c r="E40" s="251"/>
    </row>
    <row r="41" spans="1:9" x14ac:dyDescent="0.2">
      <c r="A41" s="247" t="s">
        <v>400</v>
      </c>
      <c r="B41" s="273">
        <f>B35+B38</f>
        <v>64000</v>
      </c>
      <c r="C41" s="264" t="s">
        <v>21</v>
      </c>
      <c r="D41" s="265"/>
      <c r="E41" s="251"/>
    </row>
    <row r="42" spans="1:9" x14ac:dyDescent="0.2">
      <c r="A42" s="247" t="s">
        <v>402</v>
      </c>
      <c r="B42" s="273">
        <f>B36+B39</f>
        <v>175545.45454545456</v>
      </c>
      <c r="C42" s="264" t="s">
        <v>21</v>
      </c>
      <c r="D42" s="265"/>
      <c r="E42" s="251"/>
    </row>
    <row r="43" spans="1:9" x14ac:dyDescent="0.2">
      <c r="A43" s="247" t="s">
        <v>410</v>
      </c>
      <c r="B43" s="273">
        <f>2*1500*6</f>
        <v>18000</v>
      </c>
      <c r="C43" s="264" t="s">
        <v>21</v>
      </c>
      <c r="D43" s="265" t="s">
        <v>411</v>
      </c>
      <c r="E43" s="251"/>
      <c r="I43" s="246" t="s">
        <v>1</v>
      </c>
    </row>
    <row r="44" spans="1:9" x14ac:dyDescent="0.2">
      <c r="A44" s="247" t="s">
        <v>412</v>
      </c>
      <c r="B44" s="273">
        <f>2*1000*12</f>
        <v>24000</v>
      </c>
      <c r="C44" s="264" t="s">
        <v>21</v>
      </c>
      <c r="D44" s="265" t="s">
        <v>413</v>
      </c>
      <c r="E44" s="251"/>
    </row>
    <row r="45" spans="1:9" x14ac:dyDescent="0.2">
      <c r="A45" s="247" t="s">
        <v>414</v>
      </c>
      <c r="B45" s="273"/>
      <c r="C45" s="264"/>
      <c r="D45" s="265"/>
      <c r="E45" s="251"/>
    </row>
    <row r="46" spans="1:9" x14ac:dyDescent="0.2">
      <c r="A46" s="247" t="s">
        <v>400</v>
      </c>
      <c r="B46" s="273">
        <f>SUM(B41,B43,B44)</f>
        <v>106000</v>
      </c>
      <c r="C46" s="264" t="s">
        <v>21</v>
      </c>
      <c r="D46" s="265" t="s">
        <v>415</v>
      </c>
      <c r="E46" s="331"/>
    </row>
    <row r="47" spans="1:9" x14ac:dyDescent="0.2">
      <c r="A47" s="247" t="s">
        <v>402</v>
      </c>
      <c r="B47" s="273">
        <f>SUM(B42,B43,B44)</f>
        <v>217545.45454545456</v>
      </c>
      <c r="C47" s="264" t="s">
        <v>21</v>
      </c>
      <c r="D47" s="265"/>
      <c r="E47" s="331"/>
      <c r="F47" s="246" t="s">
        <v>1</v>
      </c>
    </row>
    <row r="48" spans="1:9" x14ac:dyDescent="0.2">
      <c r="A48" s="247" t="s">
        <v>416</v>
      </c>
      <c r="B48" s="275">
        <v>100</v>
      </c>
      <c r="C48" s="264" t="s">
        <v>417</v>
      </c>
      <c r="D48" s="265" t="s">
        <v>418</v>
      </c>
      <c r="E48" s="251"/>
    </row>
    <row r="49" spans="1:5" x14ac:dyDescent="0.2">
      <c r="A49" s="247" t="s">
        <v>419</v>
      </c>
      <c r="B49" s="251"/>
      <c r="D49" s="265"/>
      <c r="E49" s="251"/>
    </row>
    <row r="50" spans="1:5" x14ac:dyDescent="0.2">
      <c r="A50" s="247"/>
      <c r="B50" s="273">
        <f>B46/$B$48</f>
        <v>1060</v>
      </c>
      <c r="C50" s="264" t="s">
        <v>420</v>
      </c>
      <c r="D50" s="265" t="s">
        <v>421</v>
      </c>
      <c r="E50" s="251"/>
    </row>
    <row r="51" spans="1:5" x14ac:dyDescent="0.2">
      <c r="A51" s="247"/>
      <c r="B51" s="273">
        <f>B47/$B$48</f>
        <v>2175.4545454545455</v>
      </c>
      <c r="C51" s="264" t="s">
        <v>420</v>
      </c>
      <c r="D51" s="265" t="s">
        <v>421</v>
      </c>
      <c r="E51" s="251"/>
    </row>
  </sheetData>
  <mergeCells count="4">
    <mergeCell ref="G7:G8"/>
    <mergeCell ref="H7:I7"/>
    <mergeCell ref="J7:K7"/>
    <mergeCell ref="D1:E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E172"/>
  <sheetViews>
    <sheetView workbookViewId="0">
      <selection activeCell="Q2" sqref="Q2"/>
    </sheetView>
  </sheetViews>
  <sheetFormatPr defaultRowHeight="15" x14ac:dyDescent="0.25"/>
  <cols>
    <col min="1" max="1" width="12.5703125" customWidth="1"/>
    <col min="2" max="3" width="7" customWidth="1"/>
    <col min="4" max="4" width="12" bestFit="1" customWidth="1"/>
    <col min="5" max="5" width="6.42578125" customWidth="1"/>
    <col min="6" max="6" width="6.7109375" customWidth="1"/>
    <col min="7" max="7" width="8.7109375" bestFit="1" customWidth="1"/>
    <col min="8" max="8" width="7.5703125" customWidth="1"/>
    <col min="9" max="9" width="7" customWidth="1"/>
    <col min="10" max="10" width="9.42578125" bestFit="1" customWidth="1"/>
    <col min="11" max="11" width="6.85546875" customWidth="1"/>
    <col min="12" max="12" width="3.7109375" customWidth="1"/>
    <col min="13" max="13" width="8" bestFit="1" customWidth="1"/>
    <col min="14" max="14" width="5" customWidth="1"/>
    <col min="15" max="15" width="25.7109375" customWidth="1"/>
    <col min="16" max="16" width="9.5703125" customWidth="1"/>
    <col min="17" max="17" width="10.42578125" bestFit="1" customWidth="1"/>
    <col min="18" max="18" width="11.5703125" bestFit="1" customWidth="1"/>
    <col min="19" max="19" width="9" customWidth="1"/>
    <col min="20" max="20" width="10.7109375" customWidth="1"/>
    <col min="21" max="21" width="19" customWidth="1"/>
    <col min="22" max="22" width="7.7109375" bestFit="1" customWidth="1"/>
    <col min="23" max="23" width="54.28515625" customWidth="1"/>
    <col min="24" max="24" width="9.28515625" customWidth="1"/>
    <col min="25" max="25" width="14.7109375" customWidth="1"/>
    <col min="26" max="27" width="7.28515625" bestFit="1" customWidth="1"/>
    <col min="28" max="30" width="6.7109375" bestFit="1" customWidth="1"/>
    <col min="31" max="31" width="5.42578125" bestFit="1" customWidth="1"/>
  </cols>
  <sheetData>
    <row r="1" spans="1:31" ht="15.75" thickBot="1" x14ac:dyDescent="0.3">
      <c r="A1" s="46" t="s">
        <v>25</v>
      </c>
      <c r="B1" s="46"/>
      <c r="C1" s="46"/>
      <c r="D1" s="46"/>
      <c r="E1" s="46"/>
      <c r="F1" s="46"/>
      <c r="G1" s="46"/>
      <c r="H1" s="46"/>
      <c r="I1" s="46"/>
      <c r="J1" s="46"/>
      <c r="K1" s="46"/>
      <c r="W1" t="s">
        <v>540</v>
      </c>
    </row>
    <row r="2" spans="1:31" ht="31.5" customHeight="1" x14ac:dyDescent="0.35">
      <c r="A2" s="506" t="s">
        <v>7</v>
      </c>
      <c r="B2" s="507"/>
      <c r="C2" s="508"/>
      <c r="D2" s="507" t="s">
        <v>8</v>
      </c>
      <c r="E2" s="507"/>
      <c r="F2" s="508"/>
      <c r="G2" s="507" t="s">
        <v>26</v>
      </c>
      <c r="H2" s="507"/>
      <c r="I2" s="507"/>
      <c r="J2" s="506" t="s">
        <v>27</v>
      </c>
      <c r="K2" s="508"/>
      <c r="P2" s="4" t="s">
        <v>29</v>
      </c>
      <c r="Q2" s="88">
        <f>U7</f>
        <v>0.76666666666666672</v>
      </c>
      <c r="W2" s="402" t="s">
        <v>30</v>
      </c>
      <c r="X2" s="403" t="s">
        <v>543</v>
      </c>
      <c r="Y2" s="403" t="s">
        <v>544</v>
      </c>
    </row>
    <row r="3" spans="1:31" ht="30.75" thickBot="1" x14ac:dyDescent="0.3">
      <c r="A3" s="51" t="s">
        <v>10</v>
      </c>
      <c r="B3" s="49" t="s">
        <v>9</v>
      </c>
      <c r="C3" s="50" t="s">
        <v>28</v>
      </c>
      <c r="D3" s="295" t="s">
        <v>10</v>
      </c>
      <c r="E3" s="49" t="s">
        <v>9</v>
      </c>
      <c r="F3" s="50" t="s">
        <v>28</v>
      </c>
      <c r="G3" s="54" t="s">
        <v>10</v>
      </c>
      <c r="H3" s="47" t="s">
        <v>9</v>
      </c>
      <c r="I3" s="296" t="s">
        <v>28</v>
      </c>
      <c r="J3" s="297" t="s">
        <v>10</v>
      </c>
      <c r="K3" s="298" t="s">
        <v>9</v>
      </c>
      <c r="O3" s="60" t="s">
        <v>34</v>
      </c>
      <c r="W3" s="3" t="s">
        <v>546</v>
      </c>
      <c r="X3" s="7">
        <f>U7</f>
        <v>0.76666666666666672</v>
      </c>
      <c r="Y3" s="7">
        <v>0.5</v>
      </c>
    </row>
    <row r="4" spans="1:31" x14ac:dyDescent="0.25">
      <c r="A4" s="510" t="s">
        <v>422</v>
      </c>
      <c r="B4" s="467">
        <f>SUM(E10,E20)</f>
        <v>29.450118</v>
      </c>
      <c r="C4" s="513">
        <v>1.6286799999999999</v>
      </c>
      <c r="D4" s="498" t="s">
        <v>50</v>
      </c>
      <c r="E4" s="493">
        <f>SUM(H4,H6,K8:K9)</f>
        <v>5.851038</v>
      </c>
      <c r="F4" s="461">
        <f>102.824/1000</f>
        <v>0.102824</v>
      </c>
      <c r="G4" s="516" t="s">
        <v>40</v>
      </c>
      <c r="H4" s="468">
        <f>SUM(K4:K5)</f>
        <v>1.5496479999999999</v>
      </c>
      <c r="I4" s="513">
        <f>113.71/1000</f>
        <v>0.11370999999999999</v>
      </c>
      <c r="J4" s="76" t="s">
        <v>41</v>
      </c>
      <c r="K4" s="25">
        <v>1.0317499999999999</v>
      </c>
      <c r="O4" s="58" t="s">
        <v>30</v>
      </c>
      <c r="P4" s="490" t="s">
        <v>31</v>
      </c>
      <c r="Q4" s="490"/>
      <c r="R4" s="490"/>
      <c r="S4" s="490"/>
      <c r="T4" s="490"/>
      <c r="U4" s="490"/>
      <c r="W4" s="3" t="s">
        <v>541</v>
      </c>
      <c r="X4" s="7">
        <f>$X$3*24/10</f>
        <v>1.8400000000000003</v>
      </c>
      <c r="Y4" s="5">
        <f>$Y$3*24/10</f>
        <v>1.2</v>
      </c>
    </row>
    <row r="5" spans="1:31" ht="15.75" thickBot="1" x14ac:dyDescent="0.3">
      <c r="A5" s="511"/>
      <c r="B5" s="459"/>
      <c r="C5" s="514"/>
      <c r="D5" s="509"/>
      <c r="E5" s="495"/>
      <c r="F5" s="462"/>
      <c r="G5" s="517"/>
      <c r="H5" s="470"/>
      <c r="I5" s="515"/>
      <c r="J5" s="78" t="s">
        <v>42</v>
      </c>
      <c r="K5" s="24">
        <v>0.51789799999999997</v>
      </c>
      <c r="O5" s="36" t="s">
        <v>537</v>
      </c>
      <c r="P5" s="398" t="s">
        <v>536</v>
      </c>
      <c r="Q5" s="398" t="s">
        <v>536</v>
      </c>
      <c r="R5" s="398" t="s">
        <v>536</v>
      </c>
      <c r="S5" s="398" t="s">
        <v>536</v>
      </c>
      <c r="T5" s="398" t="s">
        <v>536</v>
      </c>
      <c r="U5" s="398" t="s">
        <v>536</v>
      </c>
      <c r="W5" s="3" t="s">
        <v>542</v>
      </c>
      <c r="X5" s="7">
        <f>$X$3*24/14</f>
        <v>1.3142857142857145</v>
      </c>
      <c r="Y5" s="31">
        <f>$Y$3*24/14</f>
        <v>0.8571428571428571</v>
      </c>
    </row>
    <row r="6" spans="1:31" x14ac:dyDescent="0.25">
      <c r="A6" s="511"/>
      <c r="B6" s="459"/>
      <c r="C6" s="514"/>
      <c r="D6" s="509"/>
      <c r="E6" s="495"/>
      <c r="F6" s="462"/>
      <c r="G6" s="516" t="s">
        <v>47</v>
      </c>
      <c r="H6" s="467">
        <f>SUM(K6:K7)</f>
        <v>1.5003299999999999</v>
      </c>
      <c r="I6" s="513">
        <f>88.67/1000</f>
        <v>8.8669999999999999E-2</v>
      </c>
      <c r="J6" s="76" t="s">
        <v>45</v>
      </c>
      <c r="K6" s="25">
        <v>0.72055000000000002</v>
      </c>
      <c r="O6" s="36" t="s">
        <v>33</v>
      </c>
      <c r="P6" s="59">
        <v>1</v>
      </c>
      <c r="Q6" s="59">
        <v>3</v>
      </c>
      <c r="R6" s="59">
        <v>5</v>
      </c>
      <c r="S6" s="59">
        <v>10</v>
      </c>
      <c r="T6" s="59">
        <v>12</v>
      </c>
      <c r="U6" s="72">
        <v>24</v>
      </c>
      <c r="W6" s="3" t="s">
        <v>545</v>
      </c>
      <c r="X6" s="3">
        <v>151</v>
      </c>
      <c r="Y6" s="3">
        <v>151</v>
      </c>
    </row>
    <row r="7" spans="1:31" ht="15.75" thickBot="1" x14ac:dyDescent="0.3">
      <c r="A7" s="511"/>
      <c r="B7" s="459"/>
      <c r="C7" s="514"/>
      <c r="D7" s="509"/>
      <c r="E7" s="495"/>
      <c r="F7" s="462"/>
      <c r="G7" s="517"/>
      <c r="H7" s="460"/>
      <c r="I7" s="515"/>
      <c r="J7" s="78" t="s">
        <v>46</v>
      </c>
      <c r="K7" s="80">
        <v>0.77978000000000003</v>
      </c>
      <c r="O7" s="36" t="s">
        <v>32</v>
      </c>
      <c r="P7" s="71">
        <f>$Q$2*24/P6</f>
        <v>18.400000000000002</v>
      </c>
      <c r="Q7" s="396">
        <f t="shared" ref="Q7:R7" si="0">$Q$2*24/Q6</f>
        <v>6.1333333333333337</v>
      </c>
      <c r="R7" s="396">
        <f t="shared" si="0"/>
        <v>3.6800000000000006</v>
      </c>
      <c r="S7" s="396">
        <f t="shared" ref="S7" si="1">$Q$2*24/S6</f>
        <v>1.8400000000000003</v>
      </c>
      <c r="T7" s="396">
        <f t="shared" ref="T7" si="2">$Q$2*24/T6</f>
        <v>1.5333333333333334</v>
      </c>
      <c r="U7" s="12">
        <f>MAX(CWR!B25:M25)</f>
        <v>0.76666666666666672</v>
      </c>
      <c r="W7" s="3" t="s">
        <v>545</v>
      </c>
      <c r="X7" s="15" t="e">
        <f>#REF!</f>
        <v>#REF!</v>
      </c>
      <c r="Y7" s="16">
        <f>CEILING(CWR!B35*1000,0.1)</f>
        <v>67.5</v>
      </c>
    </row>
    <row r="8" spans="1:31" x14ac:dyDescent="0.25">
      <c r="A8" s="511"/>
      <c r="B8" s="459"/>
      <c r="C8" s="514"/>
      <c r="D8" s="509"/>
      <c r="E8" s="495"/>
      <c r="F8" s="462"/>
      <c r="G8" s="84"/>
      <c r="H8" s="85"/>
      <c r="I8" s="93"/>
      <c r="J8" s="76" t="s">
        <v>48</v>
      </c>
      <c r="K8" s="25">
        <v>0.78225999999999996</v>
      </c>
      <c r="O8" s="399" t="s">
        <v>535</v>
      </c>
      <c r="P8" s="3"/>
      <c r="Q8" s="3"/>
      <c r="R8" s="3"/>
      <c r="S8" s="3"/>
      <c r="T8" s="3"/>
      <c r="U8" s="3"/>
      <c r="W8" s="3" t="s">
        <v>549</v>
      </c>
      <c r="X8" s="29">
        <f>X6/X4</f>
        <v>82.06521739130433</v>
      </c>
      <c r="Y8" s="29">
        <f>Y6/Y4</f>
        <v>125.83333333333334</v>
      </c>
    </row>
    <row r="9" spans="1:31" ht="15.75" thickBot="1" x14ac:dyDescent="0.3">
      <c r="A9" s="511"/>
      <c r="B9" s="459"/>
      <c r="C9" s="514"/>
      <c r="D9" s="509"/>
      <c r="E9" s="495"/>
      <c r="F9" s="462"/>
      <c r="G9" s="95"/>
      <c r="H9" s="86"/>
      <c r="I9" s="92"/>
      <c r="J9" s="78" t="s">
        <v>49</v>
      </c>
      <c r="K9" s="94">
        <v>2.0188000000000001</v>
      </c>
      <c r="O9" s="400" t="s">
        <v>538</v>
      </c>
      <c r="P9" s="374"/>
      <c r="Q9" s="3"/>
      <c r="R9" s="3"/>
      <c r="S9" s="29">
        <f>S14*1000/S7</f>
        <v>82.14925413956523</v>
      </c>
      <c r="T9" s="3"/>
      <c r="U9" s="3"/>
      <c r="W9" s="3" t="s">
        <v>548</v>
      </c>
      <c r="X9" s="29" t="e">
        <f>X7/X4</f>
        <v>#REF!</v>
      </c>
      <c r="Y9" s="29">
        <f>Y7/Y4</f>
        <v>56.25</v>
      </c>
    </row>
    <row r="10" spans="1:31" ht="15.75" thickBot="1" x14ac:dyDescent="0.3">
      <c r="A10" s="511"/>
      <c r="B10" s="459"/>
      <c r="C10" s="514"/>
      <c r="D10" s="130" t="s">
        <v>434</v>
      </c>
      <c r="E10" s="135">
        <f>SUM(E4)</f>
        <v>5.851038</v>
      </c>
      <c r="F10" s="134">
        <f>SUM(F4)</f>
        <v>0.102824</v>
      </c>
      <c r="G10" s="136"/>
      <c r="H10" s="137">
        <f>SUM(H4:H9)</f>
        <v>3.0499779999999999</v>
      </c>
      <c r="I10" s="134">
        <f>SUM(I4:I9)</f>
        <v>0.20238</v>
      </c>
      <c r="J10" s="100"/>
      <c r="K10" s="134">
        <f>SUM(K4:K9)</f>
        <v>5.851038</v>
      </c>
      <c r="O10" s="401" t="s">
        <v>539</v>
      </c>
      <c r="P10" s="374"/>
      <c r="Q10" s="3"/>
      <c r="R10" s="3"/>
      <c r="S10" s="29">
        <f>CWR!B35*1000/S7</f>
        <v>36.684782608695642</v>
      </c>
      <c r="T10" s="3"/>
      <c r="U10" s="3"/>
      <c r="W10" s="3" t="s">
        <v>547</v>
      </c>
      <c r="X10" s="29" t="e">
        <f>X7/X5</f>
        <v>#REF!</v>
      </c>
      <c r="Y10" s="29">
        <f>Y7/Y5</f>
        <v>78.75</v>
      </c>
    </row>
    <row r="11" spans="1:31" ht="15.75" thickBot="1" x14ac:dyDescent="0.3">
      <c r="A11" s="511"/>
      <c r="B11" s="459"/>
      <c r="C11" s="514"/>
      <c r="D11" s="472" t="s">
        <v>52</v>
      </c>
      <c r="E11" s="496">
        <f>SUM(H11,H13,H16,H18)</f>
        <v>23.599080000000001</v>
      </c>
      <c r="F11" s="461">
        <f>241.781/1000</f>
        <v>0.241781</v>
      </c>
      <c r="G11" s="498" t="s">
        <v>51</v>
      </c>
      <c r="H11" s="493">
        <f>SUM(K11:K12)</f>
        <v>3.70919</v>
      </c>
      <c r="I11" s="493">
        <f>95.51/1000</f>
        <v>9.5510000000000012E-2</v>
      </c>
      <c r="J11" s="76" t="s">
        <v>43</v>
      </c>
      <c r="K11" s="48">
        <v>1.91679</v>
      </c>
      <c r="O11" s="61" t="s">
        <v>509</v>
      </c>
      <c r="P11" s="62"/>
      <c r="Q11" s="62"/>
      <c r="R11" s="63"/>
      <c r="S11" s="63"/>
      <c r="T11" s="63"/>
      <c r="U11" s="63"/>
      <c r="V11" s="63"/>
      <c r="W11" s="3" t="s">
        <v>550</v>
      </c>
      <c r="X11" s="90" t="e">
        <f>SUM(X8:X10)</f>
        <v>#REF!</v>
      </c>
      <c r="Y11" s="90">
        <f>SUM(Y8:Y10)</f>
        <v>260.83333333333337</v>
      </c>
      <c r="Z11" s="63"/>
      <c r="AA11" s="63"/>
      <c r="AB11" s="63"/>
      <c r="AC11" s="63"/>
      <c r="AD11" s="63"/>
      <c r="AE11" s="63"/>
    </row>
    <row r="12" spans="1:31" ht="15" customHeight="1" thickBot="1" x14ac:dyDescent="0.3">
      <c r="A12" s="511"/>
      <c r="B12" s="459"/>
      <c r="C12" s="514"/>
      <c r="D12" s="473"/>
      <c r="E12" s="497"/>
      <c r="F12" s="462"/>
      <c r="G12" s="499"/>
      <c r="H12" s="494"/>
      <c r="I12" s="494"/>
      <c r="J12" s="96" t="s">
        <v>44</v>
      </c>
      <c r="K12" s="94">
        <v>1.7924</v>
      </c>
      <c r="O12" s="491" t="s">
        <v>35</v>
      </c>
      <c r="P12" s="487" t="s">
        <v>28</v>
      </c>
      <c r="Q12" s="487" t="s">
        <v>36</v>
      </c>
      <c r="R12" s="487"/>
      <c r="S12" s="487" t="s">
        <v>510</v>
      </c>
      <c r="T12" s="487" t="s">
        <v>528</v>
      </c>
      <c r="U12" s="518" t="s">
        <v>0</v>
      </c>
      <c r="V12" s="18"/>
      <c r="W12" s="1" t="s">
        <v>551</v>
      </c>
      <c r="Z12" s="18"/>
      <c r="AA12" s="18"/>
      <c r="AB12" s="18"/>
      <c r="AC12" s="18"/>
      <c r="AD12" s="18"/>
      <c r="AE12" s="18"/>
    </row>
    <row r="13" spans="1:31" ht="15.75" thickBot="1" x14ac:dyDescent="0.3">
      <c r="A13" s="511"/>
      <c r="B13" s="459"/>
      <c r="C13" s="514"/>
      <c r="D13" s="473"/>
      <c r="E13" s="497"/>
      <c r="F13" s="462"/>
      <c r="G13" s="498" t="s">
        <v>53</v>
      </c>
      <c r="H13" s="493">
        <f>SUM(K13:K15)</f>
        <v>7.2535100000000003</v>
      </c>
      <c r="I13" s="493">
        <f>301.89/1000</f>
        <v>0.30188999999999999</v>
      </c>
      <c r="J13" s="76" t="s">
        <v>54</v>
      </c>
      <c r="K13" s="82">
        <v>2.5954299999999999</v>
      </c>
      <c r="O13" s="492"/>
      <c r="P13" s="488"/>
      <c r="Q13" s="289" t="s">
        <v>37</v>
      </c>
      <c r="R13" s="380" t="s">
        <v>11</v>
      </c>
      <c r="S13" s="488"/>
      <c r="T13" s="488"/>
      <c r="U13" s="519"/>
      <c r="V13" s="38"/>
      <c r="Y13" s="11" t="e">
        <f>Q16-X11</f>
        <v>#REF!</v>
      </c>
      <c r="Z13" s="38"/>
      <c r="AA13" s="38"/>
      <c r="AB13" s="38"/>
      <c r="AC13" s="38"/>
      <c r="AD13" s="38"/>
      <c r="AE13" s="38"/>
    </row>
    <row r="14" spans="1:31" ht="28.5" customHeight="1" x14ac:dyDescent="0.25">
      <c r="A14" s="511"/>
      <c r="B14" s="459"/>
      <c r="C14" s="514"/>
      <c r="D14" s="473"/>
      <c r="E14" s="497"/>
      <c r="F14" s="462"/>
      <c r="G14" s="509"/>
      <c r="H14" s="495"/>
      <c r="I14" s="495"/>
      <c r="J14" s="91" t="s">
        <v>55</v>
      </c>
      <c r="K14" s="23">
        <v>2.6229399999999998</v>
      </c>
      <c r="M14" s="11">
        <f>SUM(E4,E11,H22:H27,K28,H29,K31,H32,K34,H35,K37,H38,K40,H41,K43,H44,K46,H47:H79)</f>
        <v>126.44745999999996</v>
      </c>
      <c r="O14" s="162" t="s">
        <v>422</v>
      </c>
      <c r="P14" s="290">
        <f>C21</f>
        <v>1.6286799999999999</v>
      </c>
      <c r="Q14" s="290">
        <f>B21</f>
        <v>29.450118</v>
      </c>
      <c r="R14" s="355">
        <f>Q14/$Q$25</f>
        <v>0.11437302224544815</v>
      </c>
      <c r="S14" s="55">
        <f>'Design of pump'!B12</f>
        <v>0.15115462761680004</v>
      </c>
      <c r="T14" s="22"/>
      <c r="U14" s="386" t="s">
        <v>531</v>
      </c>
      <c r="V14" s="38"/>
      <c r="Y14" t="s">
        <v>552</v>
      </c>
      <c r="Z14" s="38"/>
      <c r="AA14" s="38"/>
      <c r="AB14" s="38"/>
      <c r="AC14" s="38"/>
      <c r="AD14" s="38"/>
      <c r="AE14" s="38"/>
    </row>
    <row r="15" spans="1:31" ht="15.75" thickBot="1" x14ac:dyDescent="0.3">
      <c r="A15" s="511"/>
      <c r="B15" s="459"/>
      <c r="C15" s="514"/>
      <c r="D15" s="473"/>
      <c r="E15" s="497"/>
      <c r="F15" s="462"/>
      <c r="G15" s="499"/>
      <c r="H15" s="494"/>
      <c r="I15" s="494"/>
      <c r="J15" s="96" t="s">
        <v>56</v>
      </c>
      <c r="K15" s="24">
        <v>2.0351400000000002</v>
      </c>
      <c r="O15" s="282" t="s">
        <v>423</v>
      </c>
      <c r="P15" s="57">
        <f>C22</f>
        <v>2.4781</v>
      </c>
      <c r="Q15" s="57">
        <f>B163</f>
        <v>228.04170500000004</v>
      </c>
      <c r="R15" s="353">
        <f>Q15/$Q$25</f>
        <v>0.8856269777545519</v>
      </c>
      <c r="S15" s="89">
        <f>S14+(CWR!C28-CWR!C39)</f>
        <v>0.18490462761680004</v>
      </c>
      <c r="T15" s="28"/>
      <c r="U15" s="384" t="s">
        <v>529</v>
      </c>
      <c r="V15" s="18"/>
      <c r="Y15" s="3" t="s">
        <v>553</v>
      </c>
      <c r="Z15" s="16">
        <f>Q17</f>
        <v>5.851038</v>
      </c>
      <c r="AA15" s="18"/>
      <c r="AB15" s="18"/>
      <c r="AC15" s="18"/>
      <c r="AD15" s="18"/>
      <c r="AE15" s="18"/>
    </row>
    <row r="16" spans="1:31" ht="15.75" thickBot="1" x14ac:dyDescent="0.3">
      <c r="A16" s="511"/>
      <c r="B16" s="459"/>
      <c r="C16" s="514"/>
      <c r="D16" s="473"/>
      <c r="E16" s="497"/>
      <c r="F16" s="462"/>
      <c r="G16" s="498" t="s">
        <v>57</v>
      </c>
      <c r="H16" s="493">
        <f>SUM(K16:K17)</f>
        <v>4.73733</v>
      </c>
      <c r="I16" s="493">
        <f>125.66/1000</f>
        <v>0.12565999999999999</v>
      </c>
      <c r="J16" s="76" t="s">
        <v>58</v>
      </c>
      <c r="K16" s="25">
        <v>1.9147099999999999</v>
      </c>
      <c r="O16" s="356" t="s">
        <v>426</v>
      </c>
      <c r="P16" s="357">
        <f>SUM(P14:P15)</f>
        <v>4.1067799999999997</v>
      </c>
      <c r="Q16" s="365">
        <f>SUM(Q14:Q15)</f>
        <v>257.49182300000001</v>
      </c>
      <c r="R16" s="358">
        <f>SUM(R14:R15)</f>
        <v>1</v>
      </c>
      <c r="S16" s="35"/>
      <c r="T16" s="35"/>
      <c r="U16" s="125"/>
      <c r="V16" s="38"/>
      <c r="Y16" s="3" t="s">
        <v>554</v>
      </c>
      <c r="Z16" s="16">
        <f>Q18</f>
        <v>23.599080000000001</v>
      </c>
      <c r="AA16" s="38"/>
      <c r="AB16" s="38"/>
      <c r="AC16" s="38"/>
      <c r="AD16" s="38"/>
      <c r="AE16" s="38"/>
    </row>
    <row r="17" spans="1:31" ht="15.75" thickBot="1" x14ac:dyDescent="0.3">
      <c r="A17" s="511"/>
      <c r="B17" s="459"/>
      <c r="C17" s="514"/>
      <c r="D17" s="473"/>
      <c r="E17" s="497"/>
      <c r="F17" s="462"/>
      <c r="G17" s="499"/>
      <c r="H17" s="494"/>
      <c r="I17" s="494"/>
      <c r="J17" s="96" t="s">
        <v>59</v>
      </c>
      <c r="K17" s="83">
        <v>2.8226200000000001</v>
      </c>
      <c r="O17" s="162" t="s">
        <v>50</v>
      </c>
      <c r="P17" s="359"/>
      <c r="Q17" s="360">
        <f>E10</f>
        <v>5.851038</v>
      </c>
      <c r="R17" s="355">
        <f t="shared" ref="R17:R25" si="3">Q17/$Q$25</f>
        <v>2.2723199252816659E-2</v>
      </c>
      <c r="S17" s="361">
        <f>CWR!$C$25*24/10*Q17/1000</f>
        <v>1.0765909920000002E-2</v>
      </c>
      <c r="T17" s="381"/>
      <c r="U17" s="362"/>
      <c r="V17" s="38"/>
      <c r="Y17" s="3" t="s">
        <v>556</v>
      </c>
      <c r="Z17" s="29">
        <f>SUM(H22:H27,K28,H29,K31,H32,K34,H35,K37,H38,K40,H41,K43,H44,K46,H47:H68)</f>
        <v>81.999112000000011</v>
      </c>
      <c r="AA17" s="38"/>
      <c r="AB17" s="38"/>
      <c r="AC17" s="38"/>
      <c r="AD17" s="38"/>
      <c r="AE17" s="38"/>
    </row>
    <row r="18" spans="1:31" x14ac:dyDescent="0.25">
      <c r="A18" s="511"/>
      <c r="B18" s="459"/>
      <c r="C18" s="514"/>
      <c r="D18" s="473"/>
      <c r="E18" s="497"/>
      <c r="F18" s="462"/>
      <c r="G18" s="498" t="s">
        <v>60</v>
      </c>
      <c r="H18" s="493">
        <f>SUM(K18:K19)</f>
        <v>7.8990500000000008</v>
      </c>
      <c r="I18" s="493">
        <f>182.14/1000</f>
        <v>0.18214</v>
      </c>
      <c r="J18" s="76" t="s">
        <v>61</v>
      </c>
      <c r="K18" s="25">
        <v>4.8437900000000003</v>
      </c>
      <c r="O18" s="163" t="s">
        <v>52</v>
      </c>
      <c r="P18" s="3"/>
      <c r="Q18" s="20">
        <f>H20</f>
        <v>23.599080000000001</v>
      </c>
      <c r="R18" s="352">
        <f t="shared" si="3"/>
        <v>9.1649822992631497E-2</v>
      </c>
      <c r="S18" s="8">
        <f>CWR!$C$25*24/10*Q18/1000</f>
        <v>4.3422307200000003E-2</v>
      </c>
      <c r="T18" s="29"/>
      <c r="U18" s="363"/>
      <c r="V18" s="38"/>
      <c r="Y18" s="3" t="s">
        <v>555</v>
      </c>
      <c r="Z18" s="29">
        <f>SUM(H80:H87,K88,H89,K91)</f>
        <v>21.214143</v>
      </c>
      <c r="AA18" s="38"/>
      <c r="AB18" s="38"/>
      <c r="AC18" s="38"/>
      <c r="AD18" s="38"/>
      <c r="AE18" s="38"/>
    </row>
    <row r="19" spans="1:31" ht="30.75" thickBot="1" x14ac:dyDescent="0.3">
      <c r="A19" s="511"/>
      <c r="B19" s="459"/>
      <c r="C19" s="514"/>
      <c r="D19" s="482"/>
      <c r="E19" s="497"/>
      <c r="F19" s="462"/>
      <c r="G19" s="499"/>
      <c r="H19" s="494"/>
      <c r="I19" s="494"/>
      <c r="J19" s="96" t="s">
        <v>62</v>
      </c>
      <c r="K19" s="24">
        <v>3.0552600000000001</v>
      </c>
      <c r="O19" s="163" t="s">
        <v>63</v>
      </c>
      <c r="P19" s="3"/>
      <c r="Q19" s="20">
        <f>E92</f>
        <v>121.031615</v>
      </c>
      <c r="R19" s="352">
        <f t="shared" si="3"/>
        <v>0.47004061561985988</v>
      </c>
      <c r="S19" s="8">
        <f>CWR!$C$25*24/10*Q19/1000</f>
        <v>0.22269817160000005</v>
      </c>
      <c r="T19" s="387">
        <f>S19-S15</f>
        <v>3.7793543983200006E-2</v>
      </c>
      <c r="U19" s="385" t="s">
        <v>530</v>
      </c>
      <c r="V19" s="38"/>
      <c r="Y19" s="39" t="s">
        <v>557</v>
      </c>
      <c r="Z19" s="29">
        <f>SUM(Z15:Z18)</f>
        <v>132.66337300000001</v>
      </c>
      <c r="AA19" s="38"/>
      <c r="AB19" s="38"/>
      <c r="AC19" s="38"/>
      <c r="AD19" s="38"/>
      <c r="AE19" s="38"/>
    </row>
    <row r="20" spans="1:31" ht="15.75" thickBot="1" x14ac:dyDescent="0.3">
      <c r="A20" s="512"/>
      <c r="B20" s="460"/>
      <c r="C20" s="515"/>
      <c r="D20" s="299" t="s">
        <v>433</v>
      </c>
      <c r="E20" s="300">
        <f>SUM(E11)</f>
        <v>23.599080000000001</v>
      </c>
      <c r="F20" s="301">
        <f>SUM(F11)</f>
        <v>0.241781</v>
      </c>
      <c r="G20" s="284"/>
      <c r="H20" s="285">
        <f>SUM(H11:H19)</f>
        <v>23.599080000000001</v>
      </c>
      <c r="I20" s="286">
        <f>SUM(I11:I19)</f>
        <v>0.70519999999999994</v>
      </c>
      <c r="J20" s="287"/>
      <c r="K20" s="288">
        <f>SUM(K11:K19)</f>
        <v>23.599080000000001</v>
      </c>
      <c r="O20" s="163" t="s">
        <v>164</v>
      </c>
      <c r="P20" s="3"/>
      <c r="Q20" s="20">
        <f>E127</f>
        <v>57.404810000000012</v>
      </c>
      <c r="R20" s="352">
        <f t="shared" si="3"/>
        <v>0.22293838045490094</v>
      </c>
      <c r="S20" s="8">
        <f>CWR!$C$25*24/10*Q20/1000</f>
        <v>0.10562485040000004</v>
      </c>
      <c r="T20" s="29"/>
      <c r="U20" s="363"/>
      <c r="V20" s="38"/>
      <c r="Z20" s="38"/>
      <c r="AA20" s="38"/>
      <c r="AB20" s="38"/>
      <c r="AC20" s="38"/>
      <c r="AD20" s="38"/>
      <c r="AE20" s="38"/>
    </row>
    <row r="21" spans="1:31" ht="17.25" customHeight="1" thickBot="1" x14ac:dyDescent="0.3">
      <c r="A21" s="279" t="s">
        <v>425</v>
      </c>
      <c r="B21" s="137">
        <f>SUM(B4)</f>
        <v>29.450118</v>
      </c>
      <c r="C21" s="134">
        <f>SUM(C4)</f>
        <v>1.6286799999999999</v>
      </c>
      <c r="D21" s="130"/>
      <c r="E21" s="138">
        <f>SUM(E20,E10)</f>
        <v>29.450118</v>
      </c>
      <c r="F21" s="138">
        <f>SUM(F20,F10)</f>
        <v>0.34460499999999999</v>
      </c>
      <c r="G21" s="136"/>
      <c r="H21" s="138">
        <f>SUM(H20,H10)</f>
        <v>26.649058</v>
      </c>
      <c r="I21" s="138">
        <f>SUM(I20,I10)</f>
        <v>0.90757999999999994</v>
      </c>
      <c r="J21" s="100"/>
      <c r="K21" s="134">
        <f>SUM(K20,K10)</f>
        <v>29.450118</v>
      </c>
      <c r="O21" s="163" t="s">
        <v>165</v>
      </c>
      <c r="P21" s="3"/>
      <c r="Q21" s="20">
        <f>E150</f>
        <v>31.787000000000003</v>
      </c>
      <c r="R21" s="352">
        <f t="shared" si="3"/>
        <v>0.12344858034579219</v>
      </c>
      <c r="S21" s="8">
        <f>CWR!$C$25*24/10*Q21/1000</f>
        <v>5.8488080000000019E-2</v>
      </c>
      <c r="T21" s="29"/>
      <c r="U21" s="363"/>
      <c r="V21" s="38"/>
      <c r="Z21" s="38"/>
      <c r="AA21" s="38"/>
      <c r="AB21" s="38"/>
      <c r="AC21" s="38"/>
      <c r="AD21" s="38"/>
      <c r="AE21" s="38"/>
    </row>
    <row r="22" spans="1:31" ht="15.75" thickBot="1" x14ac:dyDescent="0.3">
      <c r="A22" s="510" t="s">
        <v>423</v>
      </c>
      <c r="B22" s="467">
        <f>SUM(E92,E127,H130,E150,K151,E162)</f>
        <v>228.04170500000004</v>
      </c>
      <c r="C22" s="513">
        <v>2.4781</v>
      </c>
      <c r="D22" s="472" t="s">
        <v>63</v>
      </c>
      <c r="E22" s="500">
        <f>SUM(H22:H27,K28,H29,K31,H32,K34,H35,K37,H38,K40,H41,K43,H44,K46,H47:H68,K69,H70:H87,K88,H89,K91)</f>
        <v>121.031615</v>
      </c>
      <c r="F22" s="503">
        <f>2472.184/1000</f>
        <v>2.4721840000000004</v>
      </c>
      <c r="G22" s="498" t="s">
        <v>66</v>
      </c>
      <c r="H22" s="493">
        <f>SUM(K22:K23)</f>
        <v>6.08805</v>
      </c>
      <c r="I22" s="493">
        <f>129.09/1000</f>
        <v>0.12909000000000001</v>
      </c>
      <c r="J22" s="76" t="s">
        <v>64</v>
      </c>
      <c r="K22" s="25">
        <v>2.7368000000000001</v>
      </c>
      <c r="O22" s="282" t="s">
        <v>166</v>
      </c>
      <c r="P22" s="28"/>
      <c r="Q22" s="283">
        <f>E162</f>
        <v>14.401050000000001</v>
      </c>
      <c r="R22" s="353">
        <f t="shared" si="3"/>
        <v>5.5928183785471125E-2</v>
      </c>
      <c r="S22" s="37">
        <f>CWR!$C$25*24/10*Q22/1000</f>
        <v>2.6497932000000005E-2</v>
      </c>
      <c r="T22" s="382"/>
      <c r="U22" s="383"/>
      <c r="V22" s="65"/>
      <c r="Z22" s="66"/>
      <c r="AA22" s="67"/>
      <c r="AB22" s="38"/>
      <c r="AC22" s="38"/>
      <c r="AD22" s="38"/>
      <c r="AE22" s="38"/>
    </row>
    <row r="23" spans="1:31" ht="15.75" thickBot="1" x14ac:dyDescent="0.3">
      <c r="A23" s="511"/>
      <c r="B23" s="459"/>
      <c r="C23" s="514"/>
      <c r="D23" s="473"/>
      <c r="E23" s="501"/>
      <c r="F23" s="504"/>
      <c r="G23" s="499"/>
      <c r="H23" s="494"/>
      <c r="I23" s="494"/>
      <c r="J23" s="96" t="s">
        <v>65</v>
      </c>
      <c r="K23" s="24">
        <v>3.3512499999999998</v>
      </c>
      <c r="O23" s="364" t="s">
        <v>427</v>
      </c>
      <c r="P23" s="35"/>
      <c r="Q23" s="365">
        <f>SUM(Q17:Q22)</f>
        <v>254.07459300000002</v>
      </c>
      <c r="R23" s="404">
        <f t="shared" si="3"/>
        <v>0.98672878245147233</v>
      </c>
      <c r="S23" s="35"/>
      <c r="T23" s="35"/>
      <c r="U23" s="125"/>
      <c r="V23" s="18"/>
      <c r="Z23" s="18"/>
      <c r="AA23" s="18"/>
      <c r="AB23" s="18"/>
      <c r="AC23" s="18"/>
      <c r="AD23" s="18"/>
      <c r="AE23" s="18"/>
    </row>
    <row r="24" spans="1:31" ht="15.75" thickBot="1" x14ac:dyDescent="0.3">
      <c r="A24" s="511"/>
      <c r="B24" s="459"/>
      <c r="C24" s="514"/>
      <c r="D24" s="473"/>
      <c r="E24" s="501"/>
      <c r="F24" s="504"/>
      <c r="G24" s="498" t="s">
        <v>67</v>
      </c>
      <c r="H24" s="493">
        <f>SUM(K24:K25)</f>
        <v>3.8552499999999998</v>
      </c>
      <c r="I24" s="493">
        <f>139.53/1000</f>
        <v>0.13952999999999999</v>
      </c>
      <c r="J24" s="76" t="s">
        <v>69</v>
      </c>
      <c r="K24" s="25">
        <v>2.2942</v>
      </c>
      <c r="O24" s="364" t="s">
        <v>435</v>
      </c>
      <c r="P24" s="35"/>
      <c r="Q24" s="368">
        <f>SUM(K128:K129,K151)</f>
        <v>3.41723</v>
      </c>
      <c r="R24" s="404">
        <f t="shared" si="3"/>
        <v>1.3271217548527744E-2</v>
      </c>
      <c r="S24" s="369"/>
      <c r="T24" s="369"/>
      <c r="U24" s="370" t="s">
        <v>1</v>
      </c>
      <c r="V24" s="38"/>
      <c r="Z24" s="38"/>
      <c r="AA24" s="38"/>
      <c r="AB24" s="38"/>
      <c r="AC24" s="38"/>
      <c r="AD24" s="38"/>
      <c r="AE24" s="38"/>
    </row>
    <row r="25" spans="1:31" ht="15.75" thickBot="1" x14ac:dyDescent="0.3">
      <c r="A25" s="511"/>
      <c r="B25" s="459"/>
      <c r="C25" s="514"/>
      <c r="D25" s="473"/>
      <c r="E25" s="501"/>
      <c r="F25" s="504"/>
      <c r="G25" s="499"/>
      <c r="H25" s="494"/>
      <c r="I25" s="494"/>
      <c r="J25" s="96" t="s">
        <v>70</v>
      </c>
      <c r="K25" s="24">
        <v>1.56105</v>
      </c>
      <c r="O25" s="302" t="s">
        <v>5</v>
      </c>
      <c r="P25" s="164"/>
      <c r="Q25" s="375">
        <f>SUM(Q23,Q24)</f>
        <v>257.49182300000001</v>
      </c>
      <c r="R25" s="371">
        <f t="shared" si="3"/>
        <v>1</v>
      </c>
      <c r="S25" s="366"/>
      <c r="T25" s="366"/>
      <c r="U25" s="367"/>
      <c r="V25" s="38"/>
      <c r="Z25" s="38"/>
      <c r="AA25" s="38"/>
      <c r="AB25" s="38"/>
      <c r="AC25" s="38"/>
      <c r="AD25" s="38"/>
      <c r="AE25" s="38"/>
    </row>
    <row r="26" spans="1:31" x14ac:dyDescent="0.25">
      <c r="A26" s="511"/>
      <c r="B26" s="459"/>
      <c r="C26" s="514"/>
      <c r="D26" s="473"/>
      <c r="E26" s="501"/>
      <c r="F26" s="504"/>
      <c r="G26" s="498" t="s">
        <v>68</v>
      </c>
      <c r="H26" s="493">
        <f>SUM(K26:K27)</f>
        <v>3.43011</v>
      </c>
      <c r="I26" s="493">
        <f>137.93/1000</f>
        <v>0.13793</v>
      </c>
      <c r="J26" s="76" t="s">
        <v>71</v>
      </c>
      <c r="K26" s="25">
        <v>1.5620400000000001</v>
      </c>
      <c r="S26" s="38"/>
      <c r="T26" s="38"/>
      <c r="U26" s="38"/>
      <c r="V26" s="38"/>
      <c r="Z26" s="38"/>
      <c r="AA26" s="38"/>
      <c r="AB26" s="38"/>
      <c r="AC26" s="38"/>
      <c r="AD26" s="38"/>
      <c r="AE26" s="38"/>
    </row>
    <row r="27" spans="1:31" ht="15.75" thickBot="1" x14ac:dyDescent="0.3">
      <c r="A27" s="511"/>
      <c r="B27" s="459"/>
      <c r="C27" s="514"/>
      <c r="D27" s="473"/>
      <c r="E27" s="501"/>
      <c r="F27" s="504"/>
      <c r="G27" s="499"/>
      <c r="H27" s="494"/>
      <c r="I27" s="494"/>
      <c r="J27" s="96" t="s">
        <v>72</v>
      </c>
      <c r="K27" s="24">
        <v>1.8680699999999999</v>
      </c>
      <c r="S27" s="38"/>
      <c r="T27" s="38"/>
      <c r="U27" s="38"/>
      <c r="V27" s="38"/>
      <c r="Z27" s="38"/>
      <c r="AA27" s="38"/>
      <c r="AB27" s="38"/>
      <c r="AC27" s="38"/>
      <c r="AD27" s="38"/>
      <c r="AE27" s="38"/>
    </row>
    <row r="28" spans="1:31" ht="15.75" customHeight="1" thickBot="1" x14ac:dyDescent="0.3">
      <c r="A28" s="511"/>
      <c r="B28" s="459"/>
      <c r="C28" s="514"/>
      <c r="D28" s="473"/>
      <c r="E28" s="501"/>
      <c r="F28" s="504"/>
      <c r="G28" s="101"/>
      <c r="H28" s="97"/>
      <c r="I28" s="98"/>
      <c r="J28" s="78" t="s">
        <v>73</v>
      </c>
      <c r="K28" s="80">
        <v>2.1008300000000002</v>
      </c>
      <c r="O28" s="489" t="s">
        <v>35</v>
      </c>
      <c r="P28" s="521" t="s">
        <v>521</v>
      </c>
      <c r="Q28" s="522"/>
      <c r="R28" s="521" t="s">
        <v>36</v>
      </c>
      <c r="S28" s="522"/>
      <c r="T28" s="489" t="s">
        <v>0</v>
      </c>
      <c r="U28" s="18"/>
      <c r="V28" s="18"/>
      <c r="Z28" s="18"/>
      <c r="AA28" s="18"/>
      <c r="AB28" s="18"/>
      <c r="AC28" s="18"/>
      <c r="AD28" s="18"/>
      <c r="AE28" s="18"/>
    </row>
    <row r="29" spans="1:31" x14ac:dyDescent="0.25">
      <c r="A29" s="511"/>
      <c r="B29" s="459"/>
      <c r="C29" s="514"/>
      <c r="D29" s="473"/>
      <c r="E29" s="501"/>
      <c r="F29" s="504"/>
      <c r="G29" s="481" t="s">
        <v>77</v>
      </c>
      <c r="H29" s="483">
        <f>SUM(K29:K30)</f>
        <v>3.31046</v>
      </c>
      <c r="I29" s="485">
        <f>128.86/1000</f>
        <v>0.12886</v>
      </c>
      <c r="J29" s="76" t="s">
        <v>74</v>
      </c>
      <c r="K29" s="26">
        <v>1.7113499999999999</v>
      </c>
      <c r="O29" s="489"/>
      <c r="P29" s="376" t="s">
        <v>37</v>
      </c>
      <c r="Q29" s="376" t="s">
        <v>11</v>
      </c>
      <c r="R29" s="376" t="s">
        <v>37</v>
      </c>
      <c r="S29" s="376" t="s">
        <v>11</v>
      </c>
      <c r="T29" s="489"/>
      <c r="U29" s="17"/>
      <c r="V29" s="17"/>
      <c r="Z29" s="17"/>
      <c r="AA29" s="17"/>
      <c r="AB29" s="17"/>
      <c r="AC29" s="18"/>
      <c r="AD29" s="18"/>
      <c r="AE29" s="18"/>
    </row>
    <row r="30" spans="1:31" ht="15.75" thickBot="1" x14ac:dyDescent="0.3">
      <c r="A30" s="511"/>
      <c r="B30" s="459"/>
      <c r="C30" s="514"/>
      <c r="D30" s="473"/>
      <c r="E30" s="501"/>
      <c r="F30" s="504"/>
      <c r="G30" s="474"/>
      <c r="H30" s="477"/>
      <c r="I30" s="465"/>
      <c r="J30" s="96" t="s">
        <v>75</v>
      </c>
      <c r="K30" s="80">
        <v>1.59911</v>
      </c>
      <c r="O30" s="36" t="s">
        <v>422</v>
      </c>
      <c r="P30" s="59">
        <v>76.98</v>
      </c>
      <c r="Q30" s="377">
        <f>P30/P32</f>
        <v>0.20590044667932705</v>
      </c>
      <c r="R30" s="392">
        <f>Q14</f>
        <v>29.450118</v>
      </c>
      <c r="S30" s="59">
        <v>11</v>
      </c>
      <c r="T30" s="520" t="s">
        <v>520</v>
      </c>
      <c r="U30" s="17"/>
      <c r="V30" s="17"/>
      <c r="Z30" s="17"/>
      <c r="AA30" s="17"/>
      <c r="AB30" s="17"/>
      <c r="AC30" s="18"/>
      <c r="AD30" s="18"/>
      <c r="AE30" s="18"/>
    </row>
    <row r="31" spans="1:31" ht="15.75" thickBot="1" x14ac:dyDescent="0.3">
      <c r="A31" s="511"/>
      <c r="B31" s="459"/>
      <c r="C31" s="514"/>
      <c r="D31" s="473"/>
      <c r="E31" s="501"/>
      <c r="F31" s="504"/>
      <c r="G31" s="99"/>
      <c r="H31" s="99"/>
      <c r="I31" s="99"/>
      <c r="J31" s="100" t="s">
        <v>76</v>
      </c>
      <c r="K31" s="34">
        <v>1.4450499999999999</v>
      </c>
      <c r="O31" s="36" t="s">
        <v>423</v>
      </c>
      <c r="P31" s="59">
        <v>296.89</v>
      </c>
      <c r="Q31" s="377">
        <f>P31/P32</f>
        <v>0.79409955332067295</v>
      </c>
      <c r="R31" s="392">
        <f>Q15</f>
        <v>228.04170500000004</v>
      </c>
      <c r="S31" s="59">
        <v>89</v>
      </c>
      <c r="T31" s="520"/>
      <c r="U31" s="17"/>
      <c r="V31" s="17"/>
      <c r="Z31" s="17"/>
      <c r="AA31" s="17"/>
      <c r="AB31" s="17"/>
      <c r="AC31" s="18"/>
      <c r="AD31" s="18"/>
      <c r="AE31" s="18"/>
    </row>
    <row r="32" spans="1:31" x14ac:dyDescent="0.25">
      <c r="A32" s="511"/>
      <c r="B32" s="459"/>
      <c r="C32" s="514"/>
      <c r="D32" s="473"/>
      <c r="E32" s="501"/>
      <c r="F32" s="504"/>
      <c r="G32" s="481" t="s">
        <v>81</v>
      </c>
      <c r="H32" s="483">
        <f>SUM(K32:K33)</f>
        <v>2.8866100000000001</v>
      </c>
      <c r="I32" s="485">
        <f>128.68/1000</f>
        <v>0.12868000000000002</v>
      </c>
      <c r="J32" s="76" t="s">
        <v>78</v>
      </c>
      <c r="K32" s="26">
        <v>1.42428</v>
      </c>
      <c r="O32" s="393" t="s">
        <v>5</v>
      </c>
      <c r="P32" s="394">
        <v>373.87</v>
      </c>
      <c r="Q32" s="395">
        <f>P32/P32</f>
        <v>1</v>
      </c>
      <c r="R32" s="394">
        <v>257.49</v>
      </c>
      <c r="S32" s="394">
        <v>100</v>
      </c>
      <c r="T32" s="520"/>
      <c r="U32" s="17"/>
      <c r="V32" s="17"/>
      <c r="Z32" s="17"/>
      <c r="AA32" s="17"/>
      <c r="AB32" s="17"/>
      <c r="AC32" s="18"/>
      <c r="AD32" s="18"/>
      <c r="AE32" s="18"/>
    </row>
    <row r="33" spans="1:31" ht="15.75" thickBot="1" x14ac:dyDescent="0.3">
      <c r="A33" s="511"/>
      <c r="B33" s="459"/>
      <c r="C33" s="514"/>
      <c r="D33" s="473"/>
      <c r="E33" s="501"/>
      <c r="F33" s="504"/>
      <c r="G33" s="474"/>
      <c r="H33" s="477"/>
      <c r="I33" s="465"/>
      <c r="J33" s="96" t="s">
        <v>79</v>
      </c>
      <c r="K33" s="80">
        <v>1.4623299999999999</v>
      </c>
      <c r="O33" s="19"/>
      <c r="P33" s="63"/>
      <c r="Q33" s="17"/>
      <c r="R33" s="17"/>
      <c r="S33" s="17"/>
      <c r="T33" s="17"/>
      <c r="U33" s="17"/>
      <c r="V33" s="17"/>
      <c r="Z33" s="17"/>
      <c r="AA33" s="17"/>
      <c r="AB33" s="17"/>
      <c r="AC33" s="18"/>
      <c r="AD33" s="18"/>
      <c r="AE33" s="18"/>
    </row>
    <row r="34" spans="1:31" ht="15.75" thickBot="1" x14ac:dyDescent="0.3">
      <c r="A34" s="511"/>
      <c r="B34" s="459"/>
      <c r="C34" s="514"/>
      <c r="D34" s="473"/>
      <c r="E34" s="501"/>
      <c r="F34" s="504"/>
      <c r="G34" s="99"/>
      <c r="H34" s="99"/>
      <c r="I34" s="99"/>
      <c r="J34" s="100" t="s">
        <v>80</v>
      </c>
      <c r="K34" s="34">
        <v>1.5916300000000001</v>
      </c>
      <c r="O34" s="19"/>
      <c r="P34" s="63"/>
      <c r="Q34" s="17"/>
      <c r="R34" s="17"/>
      <c r="S34" s="17"/>
      <c r="T34" s="17"/>
      <c r="U34" s="17"/>
      <c r="V34" s="17"/>
      <c r="Z34" s="17"/>
      <c r="AA34" s="17"/>
      <c r="AB34" s="17"/>
      <c r="AC34" s="18"/>
      <c r="AD34" s="18"/>
      <c r="AE34" s="18"/>
    </row>
    <row r="35" spans="1:31" x14ac:dyDescent="0.25">
      <c r="A35" s="511"/>
      <c r="B35" s="459"/>
      <c r="C35" s="514"/>
      <c r="D35" s="473"/>
      <c r="E35" s="501"/>
      <c r="F35" s="504"/>
      <c r="G35" s="481" t="s">
        <v>82</v>
      </c>
      <c r="H35" s="483">
        <f>SUM(K35:K36)</f>
        <v>3.7198599999999997</v>
      </c>
      <c r="I35" s="485">
        <f>125.43/1000</f>
        <v>0.12543000000000001</v>
      </c>
      <c r="J35" s="76" t="s">
        <v>88</v>
      </c>
      <c r="K35" s="26">
        <v>1.9020999999999999</v>
      </c>
      <c r="O35" s="19"/>
      <c r="P35" s="63"/>
      <c r="Q35" s="17"/>
      <c r="R35" s="17"/>
      <c r="S35" s="17"/>
      <c r="U35" s="17"/>
      <c r="V35" s="17"/>
      <c r="Z35" s="17"/>
      <c r="AA35" s="17"/>
      <c r="AB35" s="17"/>
      <c r="AC35" s="18"/>
      <c r="AD35" s="18"/>
      <c r="AE35" s="18"/>
    </row>
    <row r="36" spans="1:31" ht="15.75" thickBot="1" x14ac:dyDescent="0.3">
      <c r="A36" s="511"/>
      <c r="B36" s="459"/>
      <c r="C36" s="514"/>
      <c r="D36" s="473"/>
      <c r="E36" s="501"/>
      <c r="F36" s="504"/>
      <c r="G36" s="474"/>
      <c r="H36" s="477"/>
      <c r="I36" s="465"/>
      <c r="J36" s="96" t="s">
        <v>89</v>
      </c>
      <c r="K36" s="80">
        <v>1.81776</v>
      </c>
      <c r="O36" s="19"/>
      <c r="P36" s="63"/>
      <c r="Q36" s="17"/>
      <c r="R36" s="17"/>
      <c r="S36" s="17"/>
      <c r="U36" s="17"/>
      <c r="V36" s="17"/>
      <c r="Z36" s="17"/>
      <c r="AA36" s="17"/>
      <c r="AB36" s="17"/>
      <c r="AC36" s="18"/>
      <c r="AD36" s="18"/>
      <c r="AE36" s="18"/>
    </row>
    <row r="37" spans="1:31" ht="15.75" thickBot="1" x14ac:dyDescent="0.3">
      <c r="A37" s="511"/>
      <c r="B37" s="459"/>
      <c r="C37" s="514"/>
      <c r="D37" s="473"/>
      <c r="E37" s="501"/>
      <c r="F37" s="504"/>
      <c r="G37" s="99"/>
      <c r="H37" s="99"/>
      <c r="I37" s="99"/>
      <c r="J37" s="100" t="s">
        <v>87</v>
      </c>
      <c r="K37" s="34">
        <v>2.3961700000000001</v>
      </c>
      <c r="O37" s="19"/>
      <c r="P37" s="63"/>
      <c r="Q37" s="17"/>
      <c r="R37" s="17"/>
      <c r="S37" s="17"/>
      <c r="T37" s="17"/>
      <c r="U37" s="17"/>
      <c r="V37" s="17"/>
      <c r="Z37" s="17"/>
      <c r="AA37" s="17"/>
      <c r="AB37" s="17"/>
      <c r="AC37" s="18"/>
      <c r="AD37" s="18"/>
      <c r="AE37" s="18"/>
    </row>
    <row r="38" spans="1:31" x14ac:dyDescent="0.25">
      <c r="A38" s="511"/>
      <c r="B38" s="459"/>
      <c r="C38" s="514"/>
      <c r="D38" s="473"/>
      <c r="E38" s="501"/>
      <c r="F38" s="504"/>
      <c r="G38" s="481" t="s">
        <v>83</v>
      </c>
      <c r="H38" s="483">
        <f>SUM(K38:K39)</f>
        <v>3.1457000000000002</v>
      </c>
      <c r="I38" s="485">
        <f>131.97/1000</f>
        <v>0.13197</v>
      </c>
      <c r="J38" s="76" t="s">
        <v>90</v>
      </c>
      <c r="K38" s="26">
        <v>1.7499100000000001</v>
      </c>
      <c r="O38" s="18"/>
      <c r="P38" s="18"/>
      <c r="Q38" s="18"/>
      <c r="R38" s="18"/>
      <c r="S38" s="18"/>
      <c r="T38" s="18"/>
      <c r="U38" s="18"/>
      <c r="V38" s="18"/>
      <c r="Z38" s="18"/>
      <c r="AA38" s="18"/>
      <c r="AB38" s="18"/>
      <c r="AC38" s="18"/>
      <c r="AD38" s="18"/>
      <c r="AE38" s="18"/>
    </row>
    <row r="39" spans="1:31" ht="15.75" thickBot="1" x14ac:dyDescent="0.3">
      <c r="A39" s="511"/>
      <c r="B39" s="459"/>
      <c r="C39" s="514"/>
      <c r="D39" s="473"/>
      <c r="E39" s="501"/>
      <c r="F39" s="504"/>
      <c r="G39" s="474"/>
      <c r="H39" s="477"/>
      <c r="I39" s="465"/>
      <c r="J39" s="96" t="s">
        <v>91</v>
      </c>
      <c r="K39" s="80">
        <v>1.3957900000000001</v>
      </c>
      <c r="O39" s="64"/>
      <c r="P39" s="18"/>
      <c r="Q39" s="68"/>
      <c r="R39" s="68"/>
      <c r="S39" s="68"/>
      <c r="T39" s="68"/>
      <c r="U39" s="68"/>
      <c r="V39" s="68"/>
      <c r="Z39" s="68"/>
      <c r="AA39" s="68"/>
      <c r="AB39" s="68"/>
      <c r="AC39" s="68"/>
      <c r="AD39" s="68"/>
      <c r="AE39" s="68"/>
    </row>
    <row r="40" spans="1:31" ht="15.75" thickBot="1" x14ac:dyDescent="0.3">
      <c r="A40" s="511"/>
      <c r="B40" s="459"/>
      <c r="C40" s="514"/>
      <c r="D40" s="473"/>
      <c r="E40" s="501"/>
      <c r="F40" s="504"/>
      <c r="G40" s="99"/>
      <c r="H40" s="99"/>
      <c r="I40" s="99"/>
      <c r="J40" s="100" t="s">
        <v>92</v>
      </c>
      <c r="K40" s="34">
        <v>2.1743199999999998</v>
      </c>
      <c r="O40" s="64"/>
      <c r="P40" s="18"/>
      <c r="Q40" s="68"/>
      <c r="R40" s="68"/>
      <c r="S40" s="68"/>
      <c r="T40" s="68"/>
      <c r="U40" s="68"/>
      <c r="V40" s="68"/>
      <c r="Z40" s="68"/>
      <c r="AA40" s="68"/>
      <c r="AB40" s="68"/>
      <c r="AC40" s="68"/>
      <c r="AD40" s="68"/>
      <c r="AE40" s="68"/>
    </row>
    <row r="41" spans="1:31" x14ac:dyDescent="0.25">
      <c r="A41" s="511"/>
      <c r="B41" s="459"/>
      <c r="C41" s="514"/>
      <c r="D41" s="473"/>
      <c r="E41" s="501"/>
      <c r="F41" s="504"/>
      <c r="G41" s="481" t="s">
        <v>84</v>
      </c>
      <c r="H41" s="483">
        <f>SUM(K41:K42)</f>
        <v>2.8566000000000003</v>
      </c>
      <c r="I41" s="485">
        <f>149.13/1000</f>
        <v>0.14912999999999998</v>
      </c>
      <c r="J41" s="76" t="s">
        <v>93</v>
      </c>
      <c r="K41" s="26">
        <v>1.69712</v>
      </c>
      <c r="O41" s="64"/>
      <c r="P41" s="18"/>
      <c r="Q41" s="44"/>
      <c r="R41" s="44"/>
      <c r="S41" s="44"/>
      <c r="T41" s="44"/>
      <c r="U41" s="44"/>
      <c r="V41" s="44"/>
      <c r="Z41" s="44"/>
      <c r="AA41" s="44"/>
      <c r="AB41" s="44"/>
      <c r="AC41" s="44"/>
      <c r="AD41" s="44"/>
      <c r="AE41" s="44"/>
    </row>
    <row r="42" spans="1:31" ht="15.75" thickBot="1" x14ac:dyDescent="0.3">
      <c r="A42" s="511"/>
      <c r="B42" s="459"/>
      <c r="C42" s="514"/>
      <c r="D42" s="473"/>
      <c r="E42" s="501"/>
      <c r="F42" s="504"/>
      <c r="G42" s="474"/>
      <c r="H42" s="477"/>
      <c r="I42" s="465"/>
      <c r="J42" s="96" t="s">
        <v>94</v>
      </c>
      <c r="K42" s="80">
        <v>1.1594800000000001</v>
      </c>
      <c r="O42" s="64"/>
      <c r="P42" s="18"/>
      <c r="Q42" s="68"/>
      <c r="R42" s="68"/>
      <c r="S42" s="68"/>
      <c r="T42" s="68"/>
      <c r="U42" s="68"/>
      <c r="V42" s="68"/>
      <c r="Z42" s="68"/>
      <c r="AA42" s="68"/>
      <c r="AB42" s="68"/>
      <c r="AC42" s="68"/>
      <c r="AD42" s="68"/>
      <c r="AE42" s="68"/>
    </row>
    <row r="43" spans="1:31" ht="15.75" thickBot="1" x14ac:dyDescent="0.3">
      <c r="A43" s="511"/>
      <c r="B43" s="459"/>
      <c r="C43" s="514"/>
      <c r="D43" s="473"/>
      <c r="E43" s="501"/>
      <c r="F43" s="504"/>
      <c r="G43" s="99"/>
      <c r="H43" s="99"/>
      <c r="I43" s="99"/>
      <c r="J43" s="100" t="s">
        <v>95</v>
      </c>
      <c r="K43" s="34">
        <v>2.5709</v>
      </c>
      <c r="O43" s="64"/>
      <c r="P43" s="18"/>
      <c r="Q43" s="68"/>
      <c r="R43" s="68"/>
      <c r="S43" s="68"/>
      <c r="T43" s="68"/>
      <c r="U43" s="68"/>
      <c r="V43" s="68"/>
      <c r="Z43" s="68"/>
      <c r="AA43" s="68"/>
      <c r="AB43" s="68"/>
      <c r="AC43" s="68"/>
      <c r="AD43" s="68"/>
      <c r="AE43" s="68"/>
    </row>
    <row r="44" spans="1:31" x14ac:dyDescent="0.25">
      <c r="A44" s="511"/>
      <c r="B44" s="459"/>
      <c r="C44" s="514"/>
      <c r="D44" s="473"/>
      <c r="E44" s="501"/>
      <c r="F44" s="504"/>
      <c r="G44" s="481" t="s">
        <v>85</v>
      </c>
      <c r="H44" s="483">
        <f>SUM(K44:K45)</f>
        <v>3.1958799999999998</v>
      </c>
      <c r="I44" s="485">
        <f>143.91/1000</f>
        <v>0.14391000000000001</v>
      </c>
      <c r="J44" s="76" t="s">
        <v>96</v>
      </c>
      <c r="K44" s="26">
        <v>1.65509</v>
      </c>
      <c r="O44" s="69"/>
      <c r="P44" s="69"/>
      <c r="Q44" s="70"/>
      <c r="R44" s="70"/>
      <c r="S44" s="70"/>
      <c r="T44" s="70"/>
      <c r="U44" s="70"/>
      <c r="V44" s="70"/>
      <c r="Z44" s="70"/>
      <c r="AA44" s="70"/>
      <c r="AB44" s="70"/>
      <c r="AC44" s="70"/>
      <c r="AD44" s="70"/>
      <c r="AE44" s="70"/>
    </row>
    <row r="45" spans="1:31" ht="15.75" thickBot="1" x14ac:dyDescent="0.3">
      <c r="A45" s="511"/>
      <c r="B45" s="459"/>
      <c r="C45" s="514"/>
      <c r="D45" s="473"/>
      <c r="E45" s="501"/>
      <c r="F45" s="504"/>
      <c r="G45" s="474"/>
      <c r="H45" s="477"/>
      <c r="I45" s="465"/>
      <c r="J45" s="96" t="s">
        <v>97</v>
      </c>
      <c r="K45" s="80">
        <v>1.5407900000000001</v>
      </c>
    </row>
    <row r="46" spans="1:31" ht="15.75" thickBot="1" x14ac:dyDescent="0.3">
      <c r="A46" s="511"/>
      <c r="B46" s="459"/>
      <c r="C46" s="514"/>
      <c r="D46" s="473"/>
      <c r="E46" s="501"/>
      <c r="F46" s="504"/>
      <c r="G46" s="99"/>
      <c r="H46" s="99"/>
      <c r="I46" s="99"/>
      <c r="J46" s="100" t="s">
        <v>98</v>
      </c>
      <c r="K46" s="34">
        <v>3.1885319999999999</v>
      </c>
    </row>
    <row r="47" spans="1:31" x14ac:dyDescent="0.25">
      <c r="A47" s="511"/>
      <c r="B47" s="459"/>
      <c r="C47" s="514"/>
      <c r="D47" s="473"/>
      <c r="E47" s="501"/>
      <c r="F47" s="504"/>
      <c r="G47" s="472" t="s">
        <v>86</v>
      </c>
      <c r="H47" s="475">
        <f>SUM(K47:K48)</f>
        <v>2.9409900000000002</v>
      </c>
      <c r="I47" s="463">
        <f>130.07/1000</f>
        <v>0.13006999999999999</v>
      </c>
      <c r="J47" s="76" t="s">
        <v>99</v>
      </c>
      <c r="K47" s="25">
        <v>1.57524</v>
      </c>
    </row>
    <row r="48" spans="1:31" ht="15.75" thickBot="1" x14ac:dyDescent="0.3">
      <c r="A48" s="511"/>
      <c r="B48" s="459"/>
      <c r="C48" s="514"/>
      <c r="D48" s="473"/>
      <c r="E48" s="501"/>
      <c r="F48" s="504"/>
      <c r="G48" s="474"/>
      <c r="H48" s="477"/>
      <c r="I48" s="465"/>
      <c r="J48" s="96" t="s">
        <v>100</v>
      </c>
      <c r="K48" s="80">
        <v>1.36575</v>
      </c>
    </row>
    <row r="49" spans="1:11" x14ac:dyDescent="0.25">
      <c r="A49" s="511"/>
      <c r="B49" s="459"/>
      <c r="C49" s="514"/>
      <c r="D49" s="473"/>
      <c r="E49" s="501"/>
      <c r="F49" s="504"/>
      <c r="G49" s="472" t="s">
        <v>108</v>
      </c>
      <c r="H49" s="475">
        <f t="shared" ref="H49" si="4">SUM(K49:K50)</f>
        <v>3.9073099999999998</v>
      </c>
      <c r="I49" s="463">
        <f>126.81/1000</f>
        <v>0.12681000000000001</v>
      </c>
      <c r="J49" s="76" t="s">
        <v>102</v>
      </c>
      <c r="K49" s="25">
        <v>1.5889800000000001</v>
      </c>
    </row>
    <row r="50" spans="1:11" ht="15.75" thickBot="1" x14ac:dyDescent="0.3">
      <c r="A50" s="511"/>
      <c r="B50" s="459"/>
      <c r="C50" s="514"/>
      <c r="D50" s="473"/>
      <c r="E50" s="501"/>
      <c r="F50" s="504"/>
      <c r="G50" s="474"/>
      <c r="H50" s="477"/>
      <c r="I50" s="465"/>
      <c r="J50" s="96" t="s">
        <v>103</v>
      </c>
      <c r="K50" s="80">
        <v>2.31833</v>
      </c>
    </row>
    <row r="51" spans="1:11" x14ac:dyDescent="0.25">
      <c r="A51" s="511"/>
      <c r="B51" s="459"/>
      <c r="C51" s="514"/>
      <c r="D51" s="473"/>
      <c r="E51" s="501"/>
      <c r="F51" s="504"/>
      <c r="G51" s="472" t="s">
        <v>109</v>
      </c>
      <c r="H51" s="475">
        <f t="shared" ref="H51" si="5">SUM(K51:K52)</f>
        <v>2.5025500000000003</v>
      </c>
      <c r="I51" s="463">
        <f>125.97/1000</f>
        <v>0.12597</v>
      </c>
      <c r="J51" s="76" t="s">
        <v>105</v>
      </c>
      <c r="K51" s="102">
        <v>1.5099400000000001</v>
      </c>
    </row>
    <row r="52" spans="1:11" ht="15.75" thickBot="1" x14ac:dyDescent="0.3">
      <c r="A52" s="511"/>
      <c r="B52" s="459"/>
      <c r="C52" s="514"/>
      <c r="D52" s="473"/>
      <c r="E52" s="501"/>
      <c r="F52" s="504"/>
      <c r="G52" s="474"/>
      <c r="H52" s="477"/>
      <c r="I52" s="465"/>
      <c r="J52" s="96" t="s">
        <v>106</v>
      </c>
      <c r="K52" s="80">
        <v>0.99260999999999999</v>
      </c>
    </row>
    <row r="53" spans="1:11" x14ac:dyDescent="0.25">
      <c r="A53" s="511"/>
      <c r="B53" s="459"/>
      <c r="C53" s="514"/>
      <c r="D53" s="473"/>
      <c r="E53" s="501"/>
      <c r="F53" s="504"/>
      <c r="G53" s="472" t="s">
        <v>110</v>
      </c>
      <c r="H53" s="475">
        <f t="shared" ref="H53:H65" si="6">SUM(K53:K54)</f>
        <v>3.9066999999999998</v>
      </c>
      <c r="I53" s="485">
        <f>127.31/1000</f>
        <v>0.12731000000000001</v>
      </c>
      <c r="J53" s="76" t="s">
        <v>111</v>
      </c>
      <c r="K53" s="26">
        <v>1.51318</v>
      </c>
    </row>
    <row r="54" spans="1:11" ht="15.75" thickBot="1" x14ac:dyDescent="0.3">
      <c r="A54" s="511"/>
      <c r="B54" s="459"/>
      <c r="C54" s="514"/>
      <c r="D54" s="473"/>
      <c r="E54" s="501"/>
      <c r="F54" s="504"/>
      <c r="G54" s="474"/>
      <c r="H54" s="477"/>
      <c r="I54" s="465">
        <v>0.35557</v>
      </c>
      <c r="J54" s="96" t="s">
        <v>112</v>
      </c>
      <c r="K54" s="80">
        <v>2.3935200000000001</v>
      </c>
    </row>
    <row r="55" spans="1:11" x14ac:dyDescent="0.25">
      <c r="A55" s="511"/>
      <c r="B55" s="459"/>
      <c r="C55" s="514"/>
      <c r="D55" s="473"/>
      <c r="E55" s="501"/>
      <c r="F55" s="504"/>
      <c r="G55" s="472" t="s">
        <v>113</v>
      </c>
      <c r="H55" s="475">
        <f t="shared" si="6"/>
        <v>2.8450799999999998</v>
      </c>
      <c r="I55" s="485">
        <f>131.59/1000</f>
        <v>0.13159000000000001</v>
      </c>
      <c r="J55" s="76" t="s">
        <v>119</v>
      </c>
      <c r="K55" s="26">
        <v>1.4904299999999999</v>
      </c>
    </row>
    <row r="56" spans="1:11" ht="15.75" thickBot="1" x14ac:dyDescent="0.3">
      <c r="A56" s="511"/>
      <c r="B56" s="459"/>
      <c r="C56" s="514"/>
      <c r="D56" s="473"/>
      <c r="E56" s="501"/>
      <c r="F56" s="504"/>
      <c r="G56" s="474"/>
      <c r="H56" s="477"/>
      <c r="I56" s="465">
        <v>1.3555699999999999</v>
      </c>
      <c r="J56" s="96" t="s">
        <v>120</v>
      </c>
      <c r="K56" s="80">
        <v>1.3546499999999999</v>
      </c>
    </row>
    <row r="57" spans="1:11" x14ac:dyDescent="0.25">
      <c r="A57" s="511"/>
      <c r="B57" s="459"/>
      <c r="C57" s="514"/>
      <c r="D57" s="473"/>
      <c r="E57" s="501"/>
      <c r="F57" s="504"/>
      <c r="G57" s="472" t="s">
        <v>114</v>
      </c>
      <c r="H57" s="475">
        <f t="shared" si="6"/>
        <v>3.46271</v>
      </c>
      <c r="I57" s="485">
        <f>126.89/1000</f>
        <v>0.12689</v>
      </c>
      <c r="J57" s="76" t="s">
        <v>121</v>
      </c>
      <c r="K57" s="26">
        <v>1.49413</v>
      </c>
    </row>
    <row r="58" spans="1:11" ht="15.75" thickBot="1" x14ac:dyDescent="0.3">
      <c r="A58" s="511"/>
      <c r="B58" s="459"/>
      <c r="C58" s="514"/>
      <c r="D58" s="473"/>
      <c r="E58" s="501"/>
      <c r="F58" s="504"/>
      <c r="G58" s="474"/>
      <c r="H58" s="477"/>
      <c r="I58" s="465">
        <v>2.3555700000000002</v>
      </c>
      <c r="J58" s="96" t="s">
        <v>122</v>
      </c>
      <c r="K58" s="80">
        <v>1.96858</v>
      </c>
    </row>
    <row r="59" spans="1:11" x14ac:dyDescent="0.25">
      <c r="A59" s="511"/>
      <c r="B59" s="459"/>
      <c r="C59" s="514"/>
      <c r="D59" s="473"/>
      <c r="E59" s="501"/>
      <c r="F59" s="504"/>
      <c r="G59" s="472" t="s">
        <v>115</v>
      </c>
      <c r="H59" s="475">
        <f t="shared" si="6"/>
        <v>2.9546099999999997</v>
      </c>
      <c r="I59" s="485">
        <f>128.81/1000</f>
        <v>0.12881000000000001</v>
      </c>
      <c r="J59" s="76" t="s">
        <v>123</v>
      </c>
      <c r="K59" s="26">
        <v>1.5068699999999999</v>
      </c>
    </row>
    <row r="60" spans="1:11" ht="15.75" thickBot="1" x14ac:dyDescent="0.3">
      <c r="A60" s="511"/>
      <c r="B60" s="459"/>
      <c r="C60" s="514"/>
      <c r="D60" s="473"/>
      <c r="E60" s="501"/>
      <c r="F60" s="504"/>
      <c r="G60" s="474"/>
      <c r="H60" s="477"/>
      <c r="I60" s="465">
        <v>3.3555700000000002</v>
      </c>
      <c r="J60" s="96" t="s">
        <v>124</v>
      </c>
      <c r="K60" s="80">
        <v>1.44774</v>
      </c>
    </row>
    <row r="61" spans="1:11" x14ac:dyDescent="0.25">
      <c r="A61" s="511"/>
      <c r="B61" s="459"/>
      <c r="C61" s="514"/>
      <c r="D61" s="473"/>
      <c r="E61" s="501"/>
      <c r="F61" s="504"/>
      <c r="G61" s="472" t="s">
        <v>116</v>
      </c>
      <c r="H61" s="475">
        <f t="shared" si="6"/>
        <v>3.2986900000000001</v>
      </c>
      <c r="I61" s="485">
        <f>126.24/1000</f>
        <v>0.12623999999999999</v>
      </c>
      <c r="J61" s="76" t="s">
        <v>125</v>
      </c>
      <c r="K61" s="26">
        <v>1.4245000000000001</v>
      </c>
    </row>
    <row r="62" spans="1:11" ht="15.75" thickBot="1" x14ac:dyDescent="0.3">
      <c r="A62" s="511"/>
      <c r="B62" s="459"/>
      <c r="C62" s="514"/>
      <c r="D62" s="473"/>
      <c r="E62" s="501"/>
      <c r="F62" s="504"/>
      <c r="G62" s="474"/>
      <c r="H62" s="477"/>
      <c r="I62" s="465">
        <v>4.3555700000000002</v>
      </c>
      <c r="J62" s="96" t="s">
        <v>126</v>
      </c>
      <c r="K62" s="80">
        <v>1.87419</v>
      </c>
    </row>
    <row r="63" spans="1:11" x14ac:dyDescent="0.25">
      <c r="A63" s="511"/>
      <c r="B63" s="459"/>
      <c r="C63" s="514"/>
      <c r="D63" s="473"/>
      <c r="E63" s="501"/>
      <c r="F63" s="504"/>
      <c r="G63" s="472" t="s">
        <v>117</v>
      </c>
      <c r="H63" s="475">
        <f t="shared" si="6"/>
        <v>3.0442</v>
      </c>
      <c r="I63" s="485">
        <f>127.37/1000</f>
        <v>0.12737000000000001</v>
      </c>
      <c r="J63" s="76" t="s">
        <v>127</v>
      </c>
      <c r="K63" s="26">
        <v>1.5410999999999999</v>
      </c>
    </row>
    <row r="64" spans="1:11" ht="15.75" thickBot="1" x14ac:dyDescent="0.3">
      <c r="A64" s="511"/>
      <c r="B64" s="459"/>
      <c r="C64" s="514"/>
      <c r="D64" s="473"/>
      <c r="E64" s="501"/>
      <c r="F64" s="504"/>
      <c r="G64" s="474"/>
      <c r="H64" s="477"/>
      <c r="I64" s="465">
        <v>5.3555700000000002</v>
      </c>
      <c r="J64" s="96" t="s">
        <v>128</v>
      </c>
      <c r="K64" s="80">
        <v>1.5031000000000001</v>
      </c>
    </row>
    <row r="65" spans="1:11" x14ac:dyDescent="0.25">
      <c r="A65" s="511"/>
      <c r="B65" s="459"/>
      <c r="C65" s="514"/>
      <c r="D65" s="473"/>
      <c r="E65" s="501"/>
      <c r="F65" s="504"/>
      <c r="G65" s="472" t="s">
        <v>118</v>
      </c>
      <c r="H65" s="475">
        <f t="shared" si="6"/>
        <v>2.0875599999999999</v>
      </c>
      <c r="I65" s="485">
        <f>126.72/1000</f>
        <v>0.12672</v>
      </c>
      <c r="J65" s="76" t="s">
        <v>129</v>
      </c>
      <c r="K65" s="26">
        <v>1.2827500000000001</v>
      </c>
    </row>
    <row r="66" spans="1:11" ht="15.75" thickBot="1" x14ac:dyDescent="0.3">
      <c r="A66" s="511"/>
      <c r="B66" s="459"/>
      <c r="C66" s="514"/>
      <c r="D66" s="473"/>
      <c r="E66" s="501"/>
      <c r="F66" s="504"/>
      <c r="G66" s="474"/>
      <c r="H66" s="477"/>
      <c r="I66" s="465">
        <v>6.3555700000000002</v>
      </c>
      <c r="J66" s="96" t="s">
        <v>130</v>
      </c>
      <c r="K66" s="80">
        <v>0.80481000000000003</v>
      </c>
    </row>
    <row r="67" spans="1:11" x14ac:dyDescent="0.25">
      <c r="A67" s="511"/>
      <c r="B67" s="459"/>
      <c r="C67" s="514"/>
      <c r="D67" s="473"/>
      <c r="E67" s="501"/>
      <c r="F67" s="504"/>
      <c r="G67" s="472" t="s">
        <v>131</v>
      </c>
      <c r="H67" s="475">
        <f t="shared" ref="H67:H84" si="7">SUM(K67:K68)</f>
        <v>3.0927600000000002</v>
      </c>
      <c r="I67" s="463">
        <f>132.48/1000</f>
        <v>0.13247999999999999</v>
      </c>
      <c r="J67" s="76" t="s">
        <v>132</v>
      </c>
      <c r="K67" s="25">
        <v>1.61835</v>
      </c>
    </row>
    <row r="68" spans="1:11" ht="15.75" thickBot="1" x14ac:dyDescent="0.3">
      <c r="A68" s="511"/>
      <c r="B68" s="459"/>
      <c r="C68" s="514"/>
      <c r="D68" s="473"/>
      <c r="E68" s="501"/>
      <c r="F68" s="504"/>
      <c r="G68" s="474"/>
      <c r="H68" s="477"/>
      <c r="I68" s="465">
        <v>6.3555700000000002</v>
      </c>
      <c r="J68" s="96" t="s">
        <v>133</v>
      </c>
      <c r="K68" s="80">
        <v>1.47441</v>
      </c>
    </row>
    <row r="69" spans="1:11" ht="15.75" thickBot="1" x14ac:dyDescent="0.3">
      <c r="A69" s="511"/>
      <c r="B69" s="459"/>
      <c r="C69" s="514"/>
      <c r="D69" s="473"/>
      <c r="E69" s="501"/>
      <c r="F69" s="504"/>
      <c r="G69" s="53"/>
      <c r="H69" s="104"/>
      <c r="I69" s="81"/>
      <c r="J69" s="96" t="s">
        <v>101</v>
      </c>
      <c r="K69" s="105">
        <v>2.8201299999999998</v>
      </c>
    </row>
    <row r="70" spans="1:11" x14ac:dyDescent="0.25">
      <c r="A70" s="511"/>
      <c r="B70" s="459"/>
      <c r="C70" s="514"/>
      <c r="D70" s="473"/>
      <c r="E70" s="501"/>
      <c r="F70" s="504"/>
      <c r="G70" s="472" t="s">
        <v>136</v>
      </c>
      <c r="H70" s="475">
        <f t="shared" si="7"/>
        <v>2.5367699999999997</v>
      </c>
      <c r="I70" s="463">
        <f>137.24/1000</f>
        <v>0.13724</v>
      </c>
      <c r="J70" s="76" t="s">
        <v>134</v>
      </c>
      <c r="K70" s="25">
        <v>1.48583</v>
      </c>
    </row>
    <row r="71" spans="1:11" ht="15.75" thickBot="1" x14ac:dyDescent="0.3">
      <c r="A71" s="511"/>
      <c r="B71" s="459"/>
      <c r="C71" s="514"/>
      <c r="D71" s="473"/>
      <c r="E71" s="501"/>
      <c r="F71" s="504"/>
      <c r="G71" s="474"/>
      <c r="H71" s="477"/>
      <c r="I71" s="465"/>
      <c r="J71" s="96" t="s">
        <v>135</v>
      </c>
      <c r="K71" s="80">
        <v>1.05094</v>
      </c>
    </row>
    <row r="72" spans="1:11" x14ac:dyDescent="0.25">
      <c r="A72" s="511"/>
      <c r="B72" s="459"/>
      <c r="C72" s="514"/>
      <c r="D72" s="473"/>
      <c r="E72" s="501"/>
      <c r="F72" s="504"/>
      <c r="G72" s="472" t="s">
        <v>137</v>
      </c>
      <c r="H72" s="475">
        <f t="shared" si="7"/>
        <v>2.9684400000000002</v>
      </c>
      <c r="I72" s="463">
        <f>117.39/1000</f>
        <v>0.11738999999999999</v>
      </c>
      <c r="J72" s="76" t="s">
        <v>138</v>
      </c>
      <c r="K72" s="25">
        <v>1.33673</v>
      </c>
    </row>
    <row r="73" spans="1:11" ht="15.75" thickBot="1" x14ac:dyDescent="0.3">
      <c r="A73" s="511"/>
      <c r="B73" s="459"/>
      <c r="C73" s="514"/>
      <c r="D73" s="473"/>
      <c r="E73" s="501"/>
      <c r="F73" s="504"/>
      <c r="G73" s="474"/>
      <c r="H73" s="477"/>
      <c r="I73" s="465"/>
      <c r="J73" s="96" t="s">
        <v>139</v>
      </c>
      <c r="K73" s="80">
        <v>1.63171</v>
      </c>
    </row>
    <row r="74" spans="1:11" x14ac:dyDescent="0.25">
      <c r="A74" s="511"/>
      <c r="B74" s="459"/>
      <c r="C74" s="514"/>
      <c r="D74" s="473"/>
      <c r="E74" s="501"/>
      <c r="F74" s="504"/>
      <c r="G74" s="472" t="s">
        <v>140</v>
      </c>
      <c r="H74" s="475">
        <f t="shared" si="7"/>
        <v>3.1668400000000001</v>
      </c>
      <c r="I74" s="485">
        <f>149.79/1000</f>
        <v>0.14978999999999998</v>
      </c>
      <c r="J74" s="76" t="s">
        <v>146</v>
      </c>
      <c r="K74" s="102">
        <v>1.87</v>
      </c>
    </row>
    <row r="75" spans="1:11" ht="15.75" thickBot="1" x14ac:dyDescent="0.3">
      <c r="A75" s="511"/>
      <c r="B75" s="459"/>
      <c r="C75" s="514"/>
      <c r="D75" s="473"/>
      <c r="E75" s="501"/>
      <c r="F75" s="504"/>
      <c r="G75" s="474"/>
      <c r="H75" s="477"/>
      <c r="I75" s="465"/>
      <c r="J75" s="96" t="s">
        <v>147</v>
      </c>
      <c r="K75" s="80">
        <v>1.29684</v>
      </c>
    </row>
    <row r="76" spans="1:11" x14ac:dyDescent="0.25">
      <c r="A76" s="511"/>
      <c r="B76" s="459"/>
      <c r="C76" s="514"/>
      <c r="D76" s="473"/>
      <c r="E76" s="501"/>
      <c r="F76" s="504"/>
      <c r="G76" s="472" t="s">
        <v>141</v>
      </c>
      <c r="H76" s="475">
        <f t="shared" si="7"/>
        <v>3.2950699999999999</v>
      </c>
      <c r="I76" s="485">
        <f>116.92/1000</f>
        <v>0.11692</v>
      </c>
      <c r="J76" s="76" t="s">
        <v>152</v>
      </c>
      <c r="K76" s="102">
        <v>1.4297</v>
      </c>
    </row>
    <row r="77" spans="1:11" ht="15.75" thickBot="1" x14ac:dyDescent="0.3">
      <c r="A77" s="511"/>
      <c r="B77" s="459"/>
      <c r="C77" s="514"/>
      <c r="D77" s="473"/>
      <c r="E77" s="501"/>
      <c r="F77" s="504"/>
      <c r="G77" s="474"/>
      <c r="H77" s="477"/>
      <c r="I77" s="465"/>
      <c r="J77" s="96" t="s">
        <v>153</v>
      </c>
      <c r="K77" s="80">
        <v>1.86537</v>
      </c>
    </row>
    <row r="78" spans="1:11" x14ac:dyDescent="0.25">
      <c r="A78" s="511"/>
      <c r="B78" s="459"/>
      <c r="C78" s="514"/>
      <c r="D78" s="473"/>
      <c r="E78" s="501"/>
      <c r="F78" s="504"/>
      <c r="G78" s="472" t="s">
        <v>142</v>
      </c>
      <c r="H78" s="475">
        <f t="shared" si="7"/>
        <v>3.03111</v>
      </c>
      <c r="I78" s="485">
        <f>153.45/1000</f>
        <v>0.15344999999999998</v>
      </c>
      <c r="J78" s="76" t="s">
        <v>151</v>
      </c>
      <c r="K78" s="102">
        <v>1.9801899999999999</v>
      </c>
    </row>
    <row r="79" spans="1:11" ht="15.75" thickBot="1" x14ac:dyDescent="0.3">
      <c r="A79" s="511"/>
      <c r="B79" s="459"/>
      <c r="C79" s="514"/>
      <c r="D79" s="473"/>
      <c r="E79" s="501"/>
      <c r="F79" s="504"/>
      <c r="G79" s="474"/>
      <c r="H79" s="477"/>
      <c r="I79" s="465"/>
      <c r="J79" s="96" t="s">
        <v>150</v>
      </c>
      <c r="K79" s="80">
        <v>1.0509200000000001</v>
      </c>
    </row>
    <row r="80" spans="1:11" x14ac:dyDescent="0.25">
      <c r="A80" s="511"/>
      <c r="B80" s="459"/>
      <c r="C80" s="514"/>
      <c r="D80" s="473"/>
      <c r="E80" s="501"/>
      <c r="F80" s="504"/>
      <c r="G80" s="472" t="s">
        <v>143</v>
      </c>
      <c r="H80" s="475">
        <f t="shared" si="7"/>
        <v>3.3329399999999998</v>
      </c>
      <c r="I80" s="485">
        <f>119.41/1000</f>
        <v>0.11941</v>
      </c>
      <c r="J80" s="76" t="s">
        <v>148</v>
      </c>
      <c r="K80" s="25">
        <v>1.40906</v>
      </c>
    </row>
    <row r="81" spans="1:11" ht="15.75" thickBot="1" x14ac:dyDescent="0.3">
      <c r="A81" s="511"/>
      <c r="B81" s="459"/>
      <c r="C81" s="514"/>
      <c r="D81" s="473"/>
      <c r="E81" s="501"/>
      <c r="F81" s="504"/>
      <c r="G81" s="474"/>
      <c r="H81" s="477"/>
      <c r="I81" s="465"/>
      <c r="J81" s="96" t="s">
        <v>149</v>
      </c>
      <c r="K81" s="80">
        <v>1.92388</v>
      </c>
    </row>
    <row r="82" spans="1:11" x14ac:dyDescent="0.25">
      <c r="A82" s="511"/>
      <c r="B82" s="459"/>
      <c r="C82" s="514"/>
      <c r="D82" s="473"/>
      <c r="E82" s="501"/>
      <c r="F82" s="504"/>
      <c r="G82" s="472" t="s">
        <v>144</v>
      </c>
      <c r="H82" s="475">
        <f t="shared" si="7"/>
        <v>2.6520900000000003</v>
      </c>
      <c r="I82" s="485">
        <f>145.73/1000</f>
        <v>0.14573</v>
      </c>
      <c r="J82" s="76" t="s">
        <v>154</v>
      </c>
      <c r="K82" s="25">
        <v>1.6207400000000001</v>
      </c>
    </row>
    <row r="83" spans="1:11" ht="15.75" thickBot="1" x14ac:dyDescent="0.3">
      <c r="A83" s="511"/>
      <c r="B83" s="459"/>
      <c r="C83" s="514"/>
      <c r="D83" s="473"/>
      <c r="E83" s="501"/>
      <c r="F83" s="504"/>
      <c r="G83" s="474"/>
      <c r="H83" s="477"/>
      <c r="I83" s="465"/>
      <c r="J83" s="96" t="s">
        <v>156</v>
      </c>
      <c r="K83" s="80">
        <v>1.03135</v>
      </c>
    </row>
    <row r="84" spans="1:11" x14ac:dyDescent="0.25">
      <c r="A84" s="511"/>
      <c r="B84" s="459"/>
      <c r="C84" s="514"/>
      <c r="D84" s="473"/>
      <c r="E84" s="501"/>
      <c r="F84" s="504"/>
      <c r="G84" s="472" t="s">
        <v>145</v>
      </c>
      <c r="H84" s="475">
        <f t="shared" si="7"/>
        <v>3.901573</v>
      </c>
      <c r="I84" s="485">
        <f>123.73/1000</f>
        <v>0.12373000000000001</v>
      </c>
      <c r="J84" s="76" t="s">
        <v>155</v>
      </c>
      <c r="K84" s="25">
        <v>1.455333</v>
      </c>
    </row>
    <row r="85" spans="1:11" ht="15.75" thickBot="1" x14ac:dyDescent="0.3">
      <c r="A85" s="511"/>
      <c r="B85" s="459"/>
      <c r="C85" s="514"/>
      <c r="D85" s="473"/>
      <c r="E85" s="501"/>
      <c r="F85" s="504"/>
      <c r="G85" s="474"/>
      <c r="H85" s="477"/>
      <c r="I85" s="465"/>
      <c r="J85" s="96" t="s">
        <v>157</v>
      </c>
      <c r="K85" s="80">
        <v>2.44624</v>
      </c>
    </row>
    <row r="86" spans="1:11" x14ac:dyDescent="0.25">
      <c r="A86" s="511"/>
      <c r="B86" s="459"/>
      <c r="C86" s="514"/>
      <c r="D86" s="473"/>
      <c r="E86" s="501"/>
      <c r="F86" s="504"/>
      <c r="G86" s="472" t="s">
        <v>158</v>
      </c>
      <c r="H86" s="475">
        <f t="shared" ref="H86" si="8">SUM(K86:K87)</f>
        <v>2.45513</v>
      </c>
      <c r="I86" s="463">
        <f>149.68/1000</f>
        <v>0.14968000000000001</v>
      </c>
      <c r="J86" s="76" t="s">
        <v>159</v>
      </c>
      <c r="K86" s="25">
        <v>1.62801</v>
      </c>
    </row>
    <row r="87" spans="1:11" ht="15.75" thickBot="1" x14ac:dyDescent="0.3">
      <c r="A87" s="511"/>
      <c r="B87" s="459"/>
      <c r="C87" s="514"/>
      <c r="D87" s="473"/>
      <c r="E87" s="501"/>
      <c r="F87" s="504"/>
      <c r="G87" s="474"/>
      <c r="H87" s="477"/>
      <c r="I87" s="465"/>
      <c r="J87" s="96" t="s">
        <v>160</v>
      </c>
      <c r="K87" s="80">
        <v>0.82711999999999997</v>
      </c>
    </row>
    <row r="88" spans="1:11" ht="15.75" thickBot="1" x14ac:dyDescent="0.3">
      <c r="A88" s="511"/>
      <c r="B88" s="459"/>
      <c r="C88" s="514"/>
      <c r="D88" s="473"/>
      <c r="E88" s="501"/>
      <c r="F88" s="504"/>
      <c r="G88" s="53"/>
      <c r="H88" s="104"/>
      <c r="I88" s="81"/>
      <c r="J88" s="96" t="s">
        <v>104</v>
      </c>
      <c r="K88" s="105">
        <v>2.5832299999999999</v>
      </c>
    </row>
    <row r="89" spans="1:11" x14ac:dyDescent="0.25">
      <c r="A89" s="511"/>
      <c r="B89" s="459"/>
      <c r="C89" s="514"/>
      <c r="D89" s="473"/>
      <c r="E89" s="501"/>
      <c r="F89" s="504"/>
      <c r="G89" s="472" t="s">
        <v>163</v>
      </c>
      <c r="H89" s="475">
        <f t="shared" ref="H89" si="9">SUM(K89:K90)</f>
        <v>3.7841899999999997</v>
      </c>
      <c r="I89" s="463">
        <f>157.16/1000</f>
        <v>0.15715999999999999</v>
      </c>
      <c r="J89" s="76" t="s">
        <v>161</v>
      </c>
      <c r="K89" s="102">
        <v>2.3296899999999998</v>
      </c>
    </row>
    <row r="90" spans="1:11" ht="15.75" thickBot="1" x14ac:dyDescent="0.3">
      <c r="A90" s="511"/>
      <c r="B90" s="459"/>
      <c r="C90" s="514"/>
      <c r="D90" s="473"/>
      <c r="E90" s="501"/>
      <c r="F90" s="504"/>
      <c r="G90" s="474"/>
      <c r="H90" s="477"/>
      <c r="I90" s="465"/>
      <c r="J90" s="96" t="s">
        <v>162</v>
      </c>
      <c r="K90" s="80">
        <v>1.4544999999999999</v>
      </c>
    </row>
    <row r="91" spans="1:11" ht="15.75" thickBot="1" x14ac:dyDescent="0.3">
      <c r="A91" s="511"/>
      <c r="B91" s="459"/>
      <c r="C91" s="514"/>
      <c r="D91" s="474"/>
      <c r="E91" s="502"/>
      <c r="F91" s="505"/>
      <c r="G91" s="129"/>
      <c r="H91" s="33"/>
      <c r="I91" s="34"/>
      <c r="J91" s="96" t="s">
        <v>107</v>
      </c>
      <c r="K91" s="105">
        <v>2.5049899999999998</v>
      </c>
    </row>
    <row r="92" spans="1:11" ht="15.75" thickBot="1" x14ac:dyDescent="0.3">
      <c r="A92" s="511"/>
      <c r="B92" s="459"/>
      <c r="C92" s="514"/>
      <c r="D92" s="130" t="s">
        <v>432</v>
      </c>
      <c r="E92" s="154">
        <f>SUM(E22)</f>
        <v>121.031615</v>
      </c>
      <c r="F92" s="134">
        <f>SUM(F22)</f>
        <v>2.4721840000000004</v>
      </c>
      <c r="G92" s="136"/>
      <c r="H92" s="137">
        <f>SUM(H22:H91)</f>
        <v>97.655832999999987</v>
      </c>
      <c r="I92" s="134">
        <f>SUM(I22:I91)</f>
        <v>33.839849999999998</v>
      </c>
      <c r="J92" s="100"/>
      <c r="K92" s="139">
        <f>SUM(K22:K91)</f>
        <v>121.03161500000004</v>
      </c>
    </row>
    <row r="93" spans="1:11" ht="15.75" thickBot="1" x14ac:dyDescent="0.3">
      <c r="A93" s="511"/>
      <c r="B93" s="459"/>
      <c r="C93" s="514"/>
      <c r="D93" s="472" t="s">
        <v>164</v>
      </c>
      <c r="E93" s="475">
        <f>SUM(K93,H94,K96,H97,K99,H100,K102,H103,K105,H106,K108:K120,H121,K123,H124,K126)</f>
        <v>57.404810000000012</v>
      </c>
      <c r="F93" s="463">
        <f>1637.357/1000</f>
        <v>1.637357</v>
      </c>
      <c r="G93" s="128"/>
      <c r="H93" s="114"/>
      <c r="I93" s="115"/>
      <c r="J93" s="100" t="s">
        <v>167</v>
      </c>
      <c r="K93" s="34">
        <v>0.18085999999999999</v>
      </c>
    </row>
    <row r="94" spans="1:11" x14ac:dyDescent="0.25">
      <c r="A94" s="511"/>
      <c r="B94" s="459"/>
      <c r="C94" s="514"/>
      <c r="D94" s="473"/>
      <c r="E94" s="478"/>
      <c r="F94" s="464"/>
      <c r="G94" s="472" t="s">
        <v>170</v>
      </c>
      <c r="H94" s="475">
        <f t="shared" ref="H94" si="10">SUM(K94:K95)</f>
        <v>2.5071000000000003</v>
      </c>
      <c r="I94" s="463">
        <f>91.54/1000</f>
        <v>9.154000000000001E-2</v>
      </c>
      <c r="J94" s="76" t="s">
        <v>168</v>
      </c>
      <c r="K94" s="102">
        <v>1.3203400000000001</v>
      </c>
    </row>
    <row r="95" spans="1:11" ht="15.75" thickBot="1" x14ac:dyDescent="0.3">
      <c r="A95" s="511"/>
      <c r="B95" s="459"/>
      <c r="C95" s="514"/>
      <c r="D95" s="473"/>
      <c r="E95" s="478"/>
      <c r="F95" s="464"/>
      <c r="G95" s="474"/>
      <c r="H95" s="477"/>
      <c r="I95" s="465"/>
      <c r="J95" s="96" t="s">
        <v>169</v>
      </c>
      <c r="K95" s="80">
        <v>1.18676</v>
      </c>
    </row>
    <row r="96" spans="1:11" ht="15.75" thickBot="1" x14ac:dyDescent="0.3">
      <c r="A96" s="511"/>
      <c r="B96" s="459"/>
      <c r="C96" s="514"/>
      <c r="D96" s="473"/>
      <c r="E96" s="478"/>
      <c r="F96" s="464"/>
      <c r="G96" s="129"/>
      <c r="H96" s="33"/>
      <c r="I96" s="34"/>
      <c r="J96" s="96" t="s">
        <v>171</v>
      </c>
      <c r="K96" s="105">
        <v>1.31332</v>
      </c>
    </row>
    <row r="97" spans="1:11" x14ac:dyDescent="0.25">
      <c r="A97" s="511"/>
      <c r="B97" s="459"/>
      <c r="C97" s="514"/>
      <c r="D97" s="473"/>
      <c r="E97" s="478"/>
      <c r="F97" s="464"/>
      <c r="G97" s="472" t="s">
        <v>175</v>
      </c>
      <c r="H97" s="475">
        <f t="shared" ref="H97" si="11">SUM(K97:K98)</f>
        <v>2.7150699999999999</v>
      </c>
      <c r="I97" s="463">
        <f>123.29/1000</f>
        <v>0.12329000000000001</v>
      </c>
      <c r="J97" s="76" t="s">
        <v>172</v>
      </c>
      <c r="K97" s="102">
        <v>1.48933</v>
      </c>
    </row>
    <row r="98" spans="1:11" ht="15.75" thickBot="1" x14ac:dyDescent="0.3">
      <c r="A98" s="511"/>
      <c r="B98" s="459"/>
      <c r="C98" s="514"/>
      <c r="D98" s="473"/>
      <c r="E98" s="478"/>
      <c r="F98" s="464"/>
      <c r="G98" s="474"/>
      <c r="H98" s="477"/>
      <c r="I98" s="465"/>
      <c r="J98" s="96" t="s">
        <v>173</v>
      </c>
      <c r="K98" s="80">
        <v>1.2257400000000001</v>
      </c>
    </row>
    <row r="99" spans="1:11" ht="15.75" thickBot="1" x14ac:dyDescent="0.3">
      <c r="A99" s="511"/>
      <c r="B99" s="459"/>
      <c r="C99" s="514"/>
      <c r="D99" s="473"/>
      <c r="E99" s="478"/>
      <c r="F99" s="464"/>
      <c r="G99" s="106"/>
      <c r="H99" s="74"/>
      <c r="I99" s="75"/>
      <c r="J99" s="78" t="s">
        <v>174</v>
      </c>
      <c r="K99" s="24">
        <v>1.9693799999999999</v>
      </c>
    </row>
    <row r="100" spans="1:11" x14ac:dyDescent="0.25">
      <c r="A100" s="511"/>
      <c r="B100" s="459"/>
      <c r="C100" s="514"/>
      <c r="D100" s="473"/>
      <c r="E100" s="478"/>
      <c r="F100" s="464"/>
      <c r="G100" s="472" t="s">
        <v>176</v>
      </c>
      <c r="H100" s="475">
        <f t="shared" ref="H100" si="12">SUM(K100:K101)</f>
        <v>2.9030100000000001</v>
      </c>
      <c r="I100" s="463">
        <f>125.42/1000</f>
        <v>0.12542</v>
      </c>
      <c r="J100" s="76" t="s">
        <v>177</v>
      </c>
      <c r="K100" s="102">
        <v>1.5104599999999999</v>
      </c>
    </row>
    <row r="101" spans="1:11" ht="15.75" thickBot="1" x14ac:dyDescent="0.3">
      <c r="A101" s="511"/>
      <c r="B101" s="459"/>
      <c r="C101" s="514"/>
      <c r="D101" s="473"/>
      <c r="E101" s="478"/>
      <c r="F101" s="464"/>
      <c r="G101" s="474"/>
      <c r="H101" s="477"/>
      <c r="I101" s="465"/>
      <c r="J101" s="96" t="s">
        <v>178</v>
      </c>
      <c r="K101" s="80">
        <v>1.39255</v>
      </c>
    </row>
    <row r="102" spans="1:11" ht="15.75" thickBot="1" x14ac:dyDescent="0.3">
      <c r="A102" s="511"/>
      <c r="B102" s="459"/>
      <c r="C102" s="514"/>
      <c r="D102" s="473"/>
      <c r="E102" s="478"/>
      <c r="F102" s="464"/>
      <c r="G102" s="130"/>
      <c r="H102" s="117"/>
      <c r="I102" s="118"/>
      <c r="J102" s="100" t="s">
        <v>181</v>
      </c>
      <c r="K102" s="34">
        <v>2.6708400000000001</v>
      </c>
    </row>
    <row r="103" spans="1:11" x14ac:dyDescent="0.25">
      <c r="A103" s="511"/>
      <c r="B103" s="459"/>
      <c r="C103" s="514"/>
      <c r="D103" s="473"/>
      <c r="E103" s="478"/>
      <c r="F103" s="464"/>
      <c r="G103" s="481" t="s">
        <v>179</v>
      </c>
      <c r="H103" s="483">
        <f t="shared" ref="H103" si="13">SUM(K103:K104)</f>
        <v>3.5490599999999999</v>
      </c>
      <c r="I103" s="485">
        <f>128.45/1000</f>
        <v>0.12844999999999998</v>
      </c>
      <c r="J103" s="91" t="s">
        <v>184</v>
      </c>
      <c r="K103" s="26">
        <v>1.5389600000000001</v>
      </c>
    </row>
    <row r="104" spans="1:11" ht="15.75" thickBot="1" x14ac:dyDescent="0.3">
      <c r="A104" s="511"/>
      <c r="B104" s="459"/>
      <c r="C104" s="514"/>
      <c r="D104" s="473"/>
      <c r="E104" s="478"/>
      <c r="F104" s="464"/>
      <c r="G104" s="482"/>
      <c r="H104" s="484"/>
      <c r="I104" s="486"/>
      <c r="J104" s="111" t="s">
        <v>185</v>
      </c>
      <c r="K104" s="119">
        <v>2.0101</v>
      </c>
    </row>
    <row r="105" spans="1:11" ht="15.75" thickBot="1" x14ac:dyDescent="0.3">
      <c r="A105" s="511"/>
      <c r="B105" s="459"/>
      <c r="C105" s="514"/>
      <c r="D105" s="473"/>
      <c r="E105" s="478"/>
      <c r="F105" s="464"/>
      <c r="G105" s="130"/>
      <c r="H105" s="117"/>
      <c r="I105" s="118"/>
      <c r="J105" s="100" t="s">
        <v>182</v>
      </c>
      <c r="K105" s="34">
        <v>2.81758</v>
      </c>
    </row>
    <row r="106" spans="1:11" x14ac:dyDescent="0.25">
      <c r="A106" s="511"/>
      <c r="B106" s="459"/>
      <c r="C106" s="514"/>
      <c r="D106" s="473"/>
      <c r="E106" s="478"/>
      <c r="F106" s="464"/>
      <c r="G106" s="472" t="s">
        <v>180</v>
      </c>
      <c r="H106" s="475">
        <f t="shared" ref="H106" si="14">SUM(K106:K107)</f>
        <v>3.1627700000000001</v>
      </c>
      <c r="I106" s="463">
        <f>127.85/1000</f>
        <v>0.12784999999999999</v>
      </c>
      <c r="J106" s="91" t="s">
        <v>186</v>
      </c>
      <c r="K106" s="26">
        <v>1.54915</v>
      </c>
    </row>
    <row r="107" spans="1:11" ht="15.75" thickBot="1" x14ac:dyDescent="0.3">
      <c r="A107" s="511"/>
      <c r="B107" s="459"/>
      <c r="C107" s="514"/>
      <c r="D107" s="473"/>
      <c r="E107" s="478"/>
      <c r="F107" s="464"/>
      <c r="G107" s="474"/>
      <c r="H107" s="477"/>
      <c r="I107" s="465"/>
      <c r="J107" s="111" t="s">
        <v>187</v>
      </c>
      <c r="K107" s="32">
        <v>1.6136200000000001</v>
      </c>
    </row>
    <row r="108" spans="1:11" ht="15.75" thickBot="1" x14ac:dyDescent="0.3">
      <c r="A108" s="511"/>
      <c r="B108" s="459"/>
      <c r="C108" s="514"/>
      <c r="D108" s="473"/>
      <c r="E108" s="478"/>
      <c r="F108" s="464"/>
      <c r="G108" s="130"/>
      <c r="H108" s="117"/>
      <c r="I108" s="118"/>
      <c r="J108" s="124" t="s">
        <v>183</v>
      </c>
      <c r="K108" s="125">
        <v>2.5383800000000001</v>
      </c>
    </row>
    <row r="109" spans="1:11" x14ac:dyDescent="0.25">
      <c r="A109" s="511"/>
      <c r="B109" s="459"/>
      <c r="C109" s="514"/>
      <c r="D109" s="473"/>
      <c r="E109" s="478"/>
      <c r="F109" s="464"/>
      <c r="G109" s="131"/>
      <c r="H109" s="121"/>
      <c r="I109" s="122"/>
      <c r="J109" s="76" t="s">
        <v>188</v>
      </c>
      <c r="K109" s="25">
        <v>2.42841</v>
      </c>
    </row>
    <row r="110" spans="1:11" x14ac:dyDescent="0.25">
      <c r="A110" s="511"/>
      <c r="B110" s="459"/>
      <c r="C110" s="514"/>
      <c r="D110" s="473"/>
      <c r="E110" s="478"/>
      <c r="F110" s="464"/>
      <c r="G110" s="132"/>
      <c r="H110" s="120"/>
      <c r="I110" s="123"/>
      <c r="J110" s="77" t="s">
        <v>189</v>
      </c>
      <c r="K110" s="23">
        <v>2.4969199999999998</v>
      </c>
    </row>
    <row r="111" spans="1:11" x14ac:dyDescent="0.25">
      <c r="A111" s="511"/>
      <c r="B111" s="459"/>
      <c r="C111" s="514"/>
      <c r="D111" s="473"/>
      <c r="E111" s="478"/>
      <c r="F111" s="464"/>
      <c r="G111" s="133"/>
      <c r="H111" s="107"/>
      <c r="I111" s="108"/>
      <c r="J111" s="77" t="s">
        <v>190</v>
      </c>
      <c r="K111" s="23">
        <v>1.51623</v>
      </c>
    </row>
    <row r="112" spans="1:11" x14ac:dyDescent="0.25">
      <c r="A112" s="511"/>
      <c r="B112" s="459"/>
      <c r="C112" s="514"/>
      <c r="D112" s="473"/>
      <c r="E112" s="478"/>
      <c r="F112" s="464"/>
      <c r="G112" s="132"/>
      <c r="H112" s="120"/>
      <c r="I112" s="123"/>
      <c r="J112" s="77" t="s">
        <v>191</v>
      </c>
      <c r="K112" s="23">
        <v>2.2350599999999998</v>
      </c>
    </row>
    <row r="113" spans="1:11" x14ac:dyDescent="0.25">
      <c r="A113" s="511"/>
      <c r="B113" s="459"/>
      <c r="C113" s="514"/>
      <c r="D113" s="473"/>
      <c r="E113" s="478"/>
      <c r="F113" s="464"/>
      <c r="G113" s="132"/>
      <c r="H113" s="120"/>
      <c r="I113" s="123"/>
      <c r="J113" s="77" t="s">
        <v>192</v>
      </c>
      <c r="K113" s="116">
        <v>1.44997</v>
      </c>
    </row>
    <row r="114" spans="1:11" x14ac:dyDescent="0.25">
      <c r="A114" s="511"/>
      <c r="B114" s="459"/>
      <c r="C114" s="514"/>
      <c r="D114" s="473"/>
      <c r="E114" s="478"/>
      <c r="F114" s="464"/>
      <c r="G114" s="132"/>
      <c r="H114" s="120"/>
      <c r="I114" s="123"/>
      <c r="J114" s="77" t="s">
        <v>193</v>
      </c>
      <c r="K114" s="116">
        <v>1.7387900000000001</v>
      </c>
    </row>
    <row r="115" spans="1:11" x14ac:dyDescent="0.25">
      <c r="A115" s="511"/>
      <c r="B115" s="459"/>
      <c r="C115" s="514"/>
      <c r="D115" s="473"/>
      <c r="E115" s="478"/>
      <c r="F115" s="464"/>
      <c r="G115" s="132"/>
      <c r="H115" s="120"/>
      <c r="I115" s="123"/>
      <c r="J115" s="77" t="s">
        <v>194</v>
      </c>
      <c r="K115" s="116">
        <v>2.06582</v>
      </c>
    </row>
    <row r="116" spans="1:11" x14ac:dyDescent="0.25">
      <c r="A116" s="511"/>
      <c r="B116" s="459"/>
      <c r="C116" s="514"/>
      <c r="D116" s="473"/>
      <c r="E116" s="478"/>
      <c r="F116" s="464"/>
      <c r="G116" s="132"/>
      <c r="H116" s="120"/>
      <c r="I116" s="123"/>
      <c r="J116" s="77" t="s">
        <v>195</v>
      </c>
      <c r="K116" s="116">
        <v>1.2628900000000001</v>
      </c>
    </row>
    <row r="117" spans="1:11" x14ac:dyDescent="0.25">
      <c r="A117" s="511"/>
      <c r="B117" s="459"/>
      <c r="C117" s="514"/>
      <c r="D117" s="473"/>
      <c r="E117" s="478"/>
      <c r="F117" s="464"/>
      <c r="G117" s="132"/>
      <c r="H117" s="120"/>
      <c r="I117" s="123"/>
      <c r="J117" s="77" t="s">
        <v>196</v>
      </c>
      <c r="K117" s="116">
        <v>2.19286</v>
      </c>
    </row>
    <row r="118" spans="1:11" x14ac:dyDescent="0.25">
      <c r="A118" s="511"/>
      <c r="B118" s="459"/>
      <c r="C118" s="514"/>
      <c r="D118" s="473"/>
      <c r="E118" s="478"/>
      <c r="F118" s="464"/>
      <c r="G118" s="132"/>
      <c r="H118" s="120"/>
      <c r="I118" s="123"/>
      <c r="J118" s="77" t="s">
        <v>197</v>
      </c>
      <c r="K118" s="116">
        <v>1.56694</v>
      </c>
    </row>
    <row r="119" spans="1:11" x14ac:dyDescent="0.25">
      <c r="A119" s="511"/>
      <c r="B119" s="459"/>
      <c r="C119" s="514"/>
      <c r="D119" s="473"/>
      <c r="E119" s="478"/>
      <c r="F119" s="464"/>
      <c r="G119" s="132"/>
      <c r="H119" s="120"/>
      <c r="I119" s="123"/>
      <c r="J119" s="77" t="s">
        <v>198</v>
      </c>
      <c r="K119" s="116">
        <v>2.0602900000000002</v>
      </c>
    </row>
    <row r="120" spans="1:11" ht="15.75" thickBot="1" x14ac:dyDescent="0.3">
      <c r="A120" s="511"/>
      <c r="B120" s="459"/>
      <c r="C120" s="514"/>
      <c r="D120" s="473"/>
      <c r="E120" s="478"/>
      <c r="F120" s="464"/>
      <c r="G120" s="132"/>
      <c r="H120" s="120"/>
      <c r="I120" s="123"/>
      <c r="J120" s="79" t="s">
        <v>199</v>
      </c>
      <c r="K120" s="119">
        <v>2.46251</v>
      </c>
    </row>
    <row r="121" spans="1:11" x14ac:dyDescent="0.25">
      <c r="A121" s="511"/>
      <c r="B121" s="459"/>
      <c r="C121" s="514"/>
      <c r="D121" s="473"/>
      <c r="E121" s="478"/>
      <c r="F121" s="464"/>
      <c r="G121" s="472" t="s">
        <v>248</v>
      </c>
      <c r="H121" s="475">
        <f t="shared" ref="H121" si="15">SUM(K121:K122)</f>
        <v>2.3894099999999998</v>
      </c>
      <c r="I121" s="463">
        <f>110.12/1000</f>
        <v>0.11012000000000001</v>
      </c>
      <c r="J121" s="76" t="s">
        <v>201</v>
      </c>
      <c r="K121" s="25">
        <v>1.36591</v>
      </c>
    </row>
    <row r="122" spans="1:11" ht="15.75" thickBot="1" x14ac:dyDescent="0.3">
      <c r="A122" s="511"/>
      <c r="B122" s="459"/>
      <c r="C122" s="514"/>
      <c r="D122" s="473"/>
      <c r="E122" s="478"/>
      <c r="F122" s="464"/>
      <c r="G122" s="474"/>
      <c r="H122" s="477"/>
      <c r="I122" s="465"/>
      <c r="J122" s="96" t="s">
        <v>202</v>
      </c>
      <c r="K122" s="24">
        <v>1.0235000000000001</v>
      </c>
    </row>
    <row r="123" spans="1:11" ht="15.75" thickBot="1" x14ac:dyDescent="0.3">
      <c r="A123" s="511"/>
      <c r="B123" s="459"/>
      <c r="C123" s="514"/>
      <c r="D123" s="473"/>
      <c r="E123" s="478"/>
      <c r="F123" s="464"/>
      <c r="G123" s="128"/>
      <c r="H123" s="114"/>
      <c r="I123" s="126"/>
      <c r="J123" s="100" t="s">
        <v>200</v>
      </c>
      <c r="K123" s="127">
        <v>2.3495300000000001</v>
      </c>
    </row>
    <row r="124" spans="1:11" x14ac:dyDescent="0.25">
      <c r="A124" s="511"/>
      <c r="B124" s="459"/>
      <c r="C124" s="514"/>
      <c r="D124" s="473"/>
      <c r="E124" s="478"/>
      <c r="F124" s="464"/>
      <c r="G124" s="472" t="s">
        <v>249</v>
      </c>
      <c r="H124" s="475">
        <f t="shared" ref="H124" si="16">SUM(K124:K125)</f>
        <v>1.8862899999999998</v>
      </c>
      <c r="I124" s="463">
        <f>126.15/1000</f>
        <v>0.12615000000000001</v>
      </c>
      <c r="J124" s="76" t="s">
        <v>204</v>
      </c>
      <c r="K124" s="25">
        <v>0.88639999999999997</v>
      </c>
    </row>
    <row r="125" spans="1:11" ht="15.75" thickBot="1" x14ac:dyDescent="0.3">
      <c r="A125" s="511"/>
      <c r="B125" s="459"/>
      <c r="C125" s="514"/>
      <c r="D125" s="473"/>
      <c r="E125" s="478"/>
      <c r="F125" s="464"/>
      <c r="G125" s="474"/>
      <c r="H125" s="477"/>
      <c r="I125" s="465"/>
      <c r="J125" s="96" t="s">
        <v>205</v>
      </c>
      <c r="K125" s="80">
        <v>0.99988999999999995</v>
      </c>
    </row>
    <row r="126" spans="1:11" ht="15.75" thickBot="1" x14ac:dyDescent="0.3">
      <c r="A126" s="511"/>
      <c r="B126" s="459"/>
      <c r="C126" s="514"/>
      <c r="D126" s="474"/>
      <c r="E126" s="479"/>
      <c r="F126" s="465"/>
      <c r="G126" s="128"/>
      <c r="H126" s="114"/>
      <c r="I126" s="126"/>
      <c r="J126" s="100" t="s">
        <v>203</v>
      </c>
      <c r="K126" s="127">
        <v>0.97552000000000005</v>
      </c>
    </row>
    <row r="127" spans="1:11" ht="15.75" thickBot="1" x14ac:dyDescent="0.3">
      <c r="A127" s="511"/>
      <c r="B127" s="459"/>
      <c r="C127" s="514"/>
      <c r="D127" s="109" t="s">
        <v>431</v>
      </c>
      <c r="E127" s="141">
        <f>SUM(E93)</f>
        <v>57.404810000000012</v>
      </c>
      <c r="F127" s="142">
        <f>SUM(F93)</f>
        <v>1.637357</v>
      </c>
      <c r="G127" s="136"/>
      <c r="H127" s="137">
        <f>SUM(H93:H126)</f>
        <v>19.11271</v>
      </c>
      <c r="I127" s="134">
        <f>SUM(I93:I126)</f>
        <v>0.83282</v>
      </c>
      <c r="J127" s="100"/>
      <c r="K127" s="134">
        <f>SUM(K93:K126)</f>
        <v>57.404810000000012</v>
      </c>
    </row>
    <row r="128" spans="1:11" x14ac:dyDescent="0.25">
      <c r="A128" s="511"/>
      <c r="B128" s="459"/>
      <c r="C128" s="514"/>
      <c r="D128" s="150"/>
      <c r="E128" s="22"/>
      <c r="F128" s="144"/>
      <c r="G128" s="458" t="s">
        <v>206</v>
      </c>
      <c r="H128" s="459">
        <f t="shared" ref="H128" si="17">SUM(K128:K129)</f>
        <v>1.86185</v>
      </c>
      <c r="I128" s="459">
        <f>160/1000</f>
        <v>0.16</v>
      </c>
      <c r="J128" s="91" t="s">
        <v>48</v>
      </c>
      <c r="K128" s="26">
        <v>0.92862</v>
      </c>
    </row>
    <row r="129" spans="1:11" ht="15.75" thickBot="1" x14ac:dyDescent="0.3">
      <c r="A129" s="511"/>
      <c r="B129" s="459"/>
      <c r="C129" s="514"/>
      <c r="D129" s="151"/>
      <c r="E129" s="145"/>
      <c r="F129" s="146"/>
      <c r="G129" s="458"/>
      <c r="H129" s="460"/>
      <c r="I129" s="460"/>
      <c r="J129" s="111" t="s">
        <v>49</v>
      </c>
      <c r="K129" s="119">
        <v>0.93323</v>
      </c>
    </row>
    <row r="130" spans="1:11" ht="15.75" thickBot="1" x14ac:dyDescent="0.3">
      <c r="A130" s="511"/>
      <c r="B130" s="459"/>
      <c r="C130" s="514"/>
      <c r="D130" s="109" t="s">
        <v>430</v>
      </c>
      <c r="E130" s="141"/>
      <c r="F130" s="142"/>
      <c r="G130" s="136"/>
      <c r="H130" s="137">
        <f>SUM(H128)</f>
        <v>1.86185</v>
      </c>
      <c r="I130" s="134">
        <f>SUM(I128)</f>
        <v>0.16</v>
      </c>
      <c r="J130" s="100"/>
      <c r="K130" s="134">
        <f>SUM(K128:K129)</f>
        <v>1.86185</v>
      </c>
    </row>
    <row r="131" spans="1:11" x14ac:dyDescent="0.25">
      <c r="A131" s="511"/>
      <c r="B131" s="459"/>
      <c r="C131" s="514"/>
      <c r="D131" s="472" t="s">
        <v>165</v>
      </c>
      <c r="E131" s="480">
        <f>SUM(H131,K134,H135,K138,H139,K141,H142,K144,H145,K147:K149)</f>
        <v>31.787000000000003</v>
      </c>
      <c r="F131" s="463">
        <f>182.567/1000</f>
        <v>0.18256700000000001</v>
      </c>
      <c r="G131" s="457" t="s">
        <v>210</v>
      </c>
      <c r="H131" s="467">
        <f>SUM(K131:K133)</f>
        <v>4.4212699999999998</v>
      </c>
      <c r="I131" s="461">
        <f>327.12/1000</f>
        <v>0.32712000000000002</v>
      </c>
      <c r="J131" s="76" t="s">
        <v>207</v>
      </c>
      <c r="K131" s="25">
        <v>1.95547</v>
      </c>
    </row>
    <row r="132" spans="1:11" x14ac:dyDescent="0.25">
      <c r="A132" s="511"/>
      <c r="B132" s="459"/>
      <c r="C132" s="514"/>
      <c r="D132" s="473"/>
      <c r="E132" s="478"/>
      <c r="F132" s="464"/>
      <c r="G132" s="458"/>
      <c r="H132" s="459"/>
      <c r="I132" s="462"/>
      <c r="J132" s="77" t="s">
        <v>208</v>
      </c>
      <c r="K132" s="23">
        <v>1.1212800000000001</v>
      </c>
    </row>
    <row r="133" spans="1:11" ht="15.75" thickBot="1" x14ac:dyDescent="0.3">
      <c r="A133" s="511"/>
      <c r="B133" s="459"/>
      <c r="C133" s="514"/>
      <c r="D133" s="473"/>
      <c r="E133" s="478"/>
      <c r="F133" s="464"/>
      <c r="G133" s="466"/>
      <c r="H133" s="460"/>
      <c r="I133" s="471"/>
      <c r="J133" s="78" t="s">
        <v>209</v>
      </c>
      <c r="K133" s="24">
        <v>1.3445199999999999</v>
      </c>
    </row>
    <row r="134" spans="1:11" ht="15.75" thickBot="1" x14ac:dyDescent="0.3">
      <c r="A134" s="511"/>
      <c r="B134" s="459"/>
      <c r="C134" s="514"/>
      <c r="D134" s="473"/>
      <c r="E134" s="478"/>
      <c r="F134" s="464"/>
      <c r="G134" s="128"/>
      <c r="H134" s="114"/>
      <c r="I134" s="115"/>
      <c r="J134" s="100" t="s">
        <v>215</v>
      </c>
      <c r="K134" s="127">
        <v>1.87</v>
      </c>
    </row>
    <row r="135" spans="1:11" x14ac:dyDescent="0.25">
      <c r="A135" s="511"/>
      <c r="B135" s="459"/>
      <c r="C135" s="514"/>
      <c r="D135" s="473"/>
      <c r="E135" s="478"/>
      <c r="F135" s="464"/>
      <c r="G135" s="457" t="s">
        <v>211</v>
      </c>
      <c r="H135" s="468">
        <f>SUM(K135:K137)</f>
        <v>5.7612500000000004</v>
      </c>
      <c r="I135" s="461">
        <f>297.55/1000</f>
        <v>0.29755000000000004</v>
      </c>
      <c r="J135" s="76" t="s">
        <v>212</v>
      </c>
      <c r="K135" s="25">
        <v>1.9462600000000001</v>
      </c>
    </row>
    <row r="136" spans="1:11" x14ac:dyDescent="0.25">
      <c r="A136" s="511"/>
      <c r="B136" s="459"/>
      <c r="C136" s="514"/>
      <c r="D136" s="473"/>
      <c r="E136" s="478"/>
      <c r="F136" s="464"/>
      <c r="G136" s="458"/>
      <c r="H136" s="469"/>
      <c r="I136" s="462"/>
      <c r="J136" s="77" t="s">
        <v>213</v>
      </c>
      <c r="K136" s="23">
        <v>1.4979100000000001</v>
      </c>
    </row>
    <row r="137" spans="1:11" ht="15.75" thickBot="1" x14ac:dyDescent="0.3">
      <c r="A137" s="511"/>
      <c r="B137" s="459"/>
      <c r="C137" s="514"/>
      <c r="D137" s="473"/>
      <c r="E137" s="478"/>
      <c r="F137" s="464"/>
      <c r="G137" s="466"/>
      <c r="H137" s="470"/>
      <c r="I137" s="471"/>
      <c r="J137" s="78" t="s">
        <v>214</v>
      </c>
      <c r="K137" s="24">
        <v>2.3170799999999998</v>
      </c>
    </row>
    <row r="138" spans="1:11" ht="15.75" thickBot="1" x14ac:dyDescent="0.3">
      <c r="A138" s="511"/>
      <c r="B138" s="459"/>
      <c r="C138" s="514"/>
      <c r="D138" s="473"/>
      <c r="E138" s="478"/>
      <c r="F138" s="464"/>
      <c r="G138" s="128"/>
      <c r="H138" s="114"/>
      <c r="I138" s="115"/>
      <c r="J138" s="100" t="s">
        <v>216</v>
      </c>
      <c r="K138" s="127">
        <v>2.3747600000000002</v>
      </c>
    </row>
    <row r="139" spans="1:11" x14ac:dyDescent="0.25">
      <c r="A139" s="511"/>
      <c r="B139" s="459"/>
      <c r="C139" s="514"/>
      <c r="D139" s="473"/>
      <c r="E139" s="478"/>
      <c r="F139" s="464"/>
      <c r="G139" s="457" t="s">
        <v>217</v>
      </c>
      <c r="H139" s="459">
        <f t="shared" ref="H139" si="18">SUM(K139:K140)</f>
        <v>3.4485200000000003</v>
      </c>
      <c r="I139" s="461">
        <f>165.03/1000</f>
        <v>0.16503000000000001</v>
      </c>
      <c r="J139" s="76" t="s">
        <v>219</v>
      </c>
      <c r="K139" s="25">
        <v>1.9132899999999999</v>
      </c>
    </row>
    <row r="140" spans="1:11" ht="15.75" thickBot="1" x14ac:dyDescent="0.3">
      <c r="A140" s="511"/>
      <c r="B140" s="459"/>
      <c r="C140" s="514"/>
      <c r="D140" s="473"/>
      <c r="E140" s="478"/>
      <c r="F140" s="464"/>
      <c r="G140" s="466"/>
      <c r="H140" s="460"/>
      <c r="I140" s="471"/>
      <c r="J140" s="78" t="s">
        <v>220</v>
      </c>
      <c r="K140" s="24">
        <v>1.5352300000000001</v>
      </c>
    </row>
    <row r="141" spans="1:11" ht="15.75" thickBot="1" x14ac:dyDescent="0.3">
      <c r="A141" s="511"/>
      <c r="B141" s="459"/>
      <c r="C141" s="514"/>
      <c r="D141" s="473"/>
      <c r="E141" s="478"/>
      <c r="F141" s="464"/>
      <c r="G141" s="128"/>
      <c r="H141" s="114"/>
      <c r="I141" s="115"/>
      <c r="J141" s="100" t="s">
        <v>226</v>
      </c>
      <c r="K141" s="127">
        <v>1.9011899999999999</v>
      </c>
    </row>
    <row r="142" spans="1:11" x14ac:dyDescent="0.25">
      <c r="A142" s="511"/>
      <c r="B142" s="459"/>
      <c r="C142" s="514"/>
      <c r="D142" s="473"/>
      <c r="E142" s="478"/>
      <c r="F142" s="464"/>
      <c r="G142" s="457" t="s">
        <v>218</v>
      </c>
      <c r="H142" s="459">
        <f t="shared" ref="H142" si="19">SUM(K142:K143)</f>
        <v>3.7602000000000002</v>
      </c>
      <c r="I142" s="461">
        <f>187.86/1000</f>
        <v>0.18786000000000003</v>
      </c>
      <c r="J142" s="76" t="s">
        <v>221</v>
      </c>
      <c r="K142" s="25">
        <v>2.1652800000000001</v>
      </c>
    </row>
    <row r="143" spans="1:11" ht="15.75" thickBot="1" x14ac:dyDescent="0.3">
      <c r="A143" s="511"/>
      <c r="B143" s="459"/>
      <c r="C143" s="514"/>
      <c r="D143" s="473"/>
      <c r="E143" s="478"/>
      <c r="F143" s="464"/>
      <c r="G143" s="466"/>
      <c r="H143" s="460"/>
      <c r="I143" s="471"/>
      <c r="J143" s="78" t="s">
        <v>222</v>
      </c>
      <c r="K143" s="24">
        <v>1.5949199999999999</v>
      </c>
    </row>
    <row r="144" spans="1:11" ht="15.75" thickBot="1" x14ac:dyDescent="0.3">
      <c r="A144" s="511"/>
      <c r="B144" s="459"/>
      <c r="C144" s="514"/>
      <c r="D144" s="473"/>
      <c r="E144" s="478"/>
      <c r="F144" s="464"/>
      <c r="G144" s="128"/>
      <c r="H144" s="114"/>
      <c r="I144" s="115"/>
      <c r="J144" s="100" t="s">
        <v>227</v>
      </c>
      <c r="K144" s="127">
        <v>1.9711799999999999</v>
      </c>
    </row>
    <row r="145" spans="1:11" x14ac:dyDescent="0.25">
      <c r="A145" s="511"/>
      <c r="B145" s="459"/>
      <c r="C145" s="514"/>
      <c r="D145" s="473"/>
      <c r="E145" s="478"/>
      <c r="F145" s="464"/>
      <c r="G145" s="457" t="s">
        <v>225</v>
      </c>
      <c r="H145" s="459">
        <f t="shared" ref="H145" si="20">SUM(K145:K146)</f>
        <v>2.3138899999999998</v>
      </c>
      <c r="I145" s="461">
        <f>144/1000</f>
        <v>0.14399999999999999</v>
      </c>
      <c r="J145" s="76" t="s">
        <v>223</v>
      </c>
      <c r="K145" s="25">
        <v>1.51234</v>
      </c>
    </row>
    <row r="146" spans="1:11" ht="15.75" thickBot="1" x14ac:dyDescent="0.3">
      <c r="A146" s="511"/>
      <c r="B146" s="459"/>
      <c r="C146" s="514"/>
      <c r="D146" s="473"/>
      <c r="E146" s="478"/>
      <c r="F146" s="464"/>
      <c r="G146" s="458"/>
      <c r="H146" s="460"/>
      <c r="I146" s="462"/>
      <c r="J146" s="79" t="s">
        <v>224</v>
      </c>
      <c r="K146" s="32">
        <v>0.80154999999999998</v>
      </c>
    </row>
    <row r="147" spans="1:11" x14ac:dyDescent="0.25">
      <c r="A147" s="511"/>
      <c r="B147" s="459"/>
      <c r="C147" s="514"/>
      <c r="D147" s="473"/>
      <c r="E147" s="478"/>
      <c r="F147" s="464"/>
      <c r="G147" s="131"/>
      <c r="H147" s="85"/>
      <c r="I147" s="122"/>
      <c r="J147" s="76" t="s">
        <v>228</v>
      </c>
      <c r="K147" s="102">
        <v>1.8967400000000001</v>
      </c>
    </row>
    <row r="148" spans="1:11" x14ac:dyDescent="0.25">
      <c r="A148" s="511"/>
      <c r="B148" s="459"/>
      <c r="C148" s="514"/>
      <c r="D148" s="473"/>
      <c r="E148" s="478"/>
      <c r="F148" s="464"/>
      <c r="G148" s="132"/>
      <c r="H148" s="30"/>
      <c r="I148" s="123"/>
      <c r="J148" s="77" t="s">
        <v>229</v>
      </c>
      <c r="K148" s="23">
        <v>1.2194400000000001</v>
      </c>
    </row>
    <row r="149" spans="1:11" ht="15.75" thickBot="1" x14ac:dyDescent="0.3">
      <c r="A149" s="511"/>
      <c r="B149" s="459"/>
      <c r="C149" s="514"/>
      <c r="D149" s="474"/>
      <c r="E149" s="479"/>
      <c r="F149" s="465"/>
      <c r="G149" s="95"/>
      <c r="H149" s="86"/>
      <c r="I149" s="140"/>
      <c r="J149" s="78" t="s">
        <v>230</v>
      </c>
      <c r="K149" s="24">
        <v>0.84855999999999998</v>
      </c>
    </row>
    <row r="150" spans="1:11" ht="15.75" thickBot="1" x14ac:dyDescent="0.3">
      <c r="A150" s="511"/>
      <c r="B150" s="459"/>
      <c r="C150" s="514"/>
      <c r="D150" s="110" t="s">
        <v>429</v>
      </c>
      <c r="E150" s="147">
        <f>SUM(E131)</f>
        <v>31.787000000000003</v>
      </c>
      <c r="F150" s="148">
        <f>SUM(F128)</f>
        <v>0</v>
      </c>
      <c r="G150" s="136"/>
      <c r="H150" s="137">
        <f>SUM(H131:H149)</f>
        <v>19.70513</v>
      </c>
      <c r="I150" s="134">
        <f>SUM(I131:I149)</f>
        <v>1.1215600000000001</v>
      </c>
      <c r="J150" s="100"/>
      <c r="K150" s="143">
        <f>SUM(K131:K149)</f>
        <v>31.786999999999992</v>
      </c>
    </row>
    <row r="151" spans="1:11" ht="15.75" thickBot="1" x14ac:dyDescent="0.3">
      <c r="A151" s="511"/>
      <c r="B151" s="459"/>
      <c r="C151" s="514"/>
      <c r="D151" s="99"/>
      <c r="E151" s="114"/>
      <c r="F151" s="149"/>
      <c r="G151" s="113"/>
      <c r="H151" s="114"/>
      <c r="I151" s="126"/>
      <c r="J151" s="100" t="s">
        <v>235</v>
      </c>
      <c r="K151" s="34">
        <v>1.55538</v>
      </c>
    </row>
    <row r="152" spans="1:11" ht="15.75" thickBot="1" x14ac:dyDescent="0.3">
      <c r="A152" s="511"/>
      <c r="B152" s="459"/>
      <c r="C152" s="514"/>
      <c r="D152" s="109" t="s">
        <v>6</v>
      </c>
      <c r="E152" s="141"/>
      <c r="F152" s="142"/>
      <c r="G152" s="136"/>
      <c r="H152" s="137">
        <f>SUM(H151)</f>
        <v>0</v>
      </c>
      <c r="I152" s="134">
        <f>SUM(I151)</f>
        <v>0</v>
      </c>
      <c r="J152" s="100"/>
      <c r="K152" s="134">
        <f>SUM(K151)</f>
        <v>1.55538</v>
      </c>
    </row>
    <row r="153" spans="1:11" ht="15.75" thickBot="1" x14ac:dyDescent="0.3">
      <c r="A153" s="511"/>
      <c r="B153" s="459"/>
      <c r="C153" s="514"/>
      <c r="D153" s="472" t="s">
        <v>166</v>
      </c>
      <c r="E153" s="475">
        <f>SUM(K153,H154,H156,H158,H160)</f>
        <v>14.401050000000001</v>
      </c>
      <c r="F153" s="463">
        <f>182.567/1000</f>
        <v>0.18256700000000001</v>
      </c>
      <c r="G153" s="101"/>
      <c r="H153" s="103"/>
      <c r="I153" s="98"/>
      <c r="J153" s="96" t="s">
        <v>231</v>
      </c>
      <c r="K153" s="105">
        <v>0.52261000000000002</v>
      </c>
    </row>
    <row r="154" spans="1:11" x14ac:dyDescent="0.25">
      <c r="A154" s="511"/>
      <c r="B154" s="459"/>
      <c r="C154" s="514"/>
      <c r="D154" s="473"/>
      <c r="E154" s="476"/>
      <c r="F154" s="464"/>
      <c r="G154" s="457" t="s">
        <v>233</v>
      </c>
      <c r="H154" s="467">
        <f>SUM(K154:K155)</f>
        <v>2.6682199999999998</v>
      </c>
      <c r="I154" s="467">
        <f>102.824/1000</f>
        <v>0.102824</v>
      </c>
      <c r="J154" s="76" t="s">
        <v>232</v>
      </c>
      <c r="K154" s="102">
        <v>1.44</v>
      </c>
    </row>
    <row r="155" spans="1:11" ht="15.75" thickBot="1" x14ac:dyDescent="0.3">
      <c r="A155" s="511"/>
      <c r="B155" s="459"/>
      <c r="C155" s="514"/>
      <c r="D155" s="473"/>
      <c r="E155" s="476"/>
      <c r="F155" s="464"/>
      <c r="G155" s="466"/>
      <c r="H155" s="460"/>
      <c r="I155" s="460"/>
      <c r="J155" s="78" t="s">
        <v>234</v>
      </c>
      <c r="K155" s="24">
        <v>1.2282200000000001</v>
      </c>
    </row>
    <row r="156" spans="1:11" x14ac:dyDescent="0.25">
      <c r="A156" s="511"/>
      <c r="B156" s="459"/>
      <c r="C156" s="514"/>
      <c r="D156" s="473"/>
      <c r="E156" s="476"/>
      <c r="F156" s="464"/>
      <c r="G156" s="457" t="s">
        <v>236</v>
      </c>
      <c r="H156" s="467">
        <f t="shared" ref="H156" si="21">SUM(K156:K157)</f>
        <v>3.7905199999999999</v>
      </c>
      <c r="I156" s="467">
        <f>102.824/1000</f>
        <v>0.102824</v>
      </c>
      <c r="J156" s="76" t="s">
        <v>237</v>
      </c>
      <c r="K156" s="26">
        <v>1.66608</v>
      </c>
    </row>
    <row r="157" spans="1:11" ht="15.75" thickBot="1" x14ac:dyDescent="0.3">
      <c r="A157" s="511"/>
      <c r="B157" s="459"/>
      <c r="C157" s="514"/>
      <c r="D157" s="473"/>
      <c r="E157" s="476"/>
      <c r="F157" s="464"/>
      <c r="G157" s="466"/>
      <c r="H157" s="460"/>
      <c r="I157" s="460"/>
      <c r="J157" s="78" t="s">
        <v>238</v>
      </c>
      <c r="K157" s="23">
        <v>2.1244399999999999</v>
      </c>
    </row>
    <row r="158" spans="1:11" x14ac:dyDescent="0.25">
      <c r="A158" s="511"/>
      <c r="B158" s="459"/>
      <c r="C158" s="514"/>
      <c r="D158" s="473"/>
      <c r="E158" s="476"/>
      <c r="F158" s="464"/>
      <c r="G158" s="457" t="s">
        <v>239</v>
      </c>
      <c r="H158" s="467">
        <f t="shared" ref="H158" si="22">SUM(K158:K159)</f>
        <v>4.2397299999999998</v>
      </c>
      <c r="I158" s="467">
        <f>102.824/1000</f>
        <v>0.102824</v>
      </c>
      <c r="J158" s="76" t="s">
        <v>241</v>
      </c>
      <c r="K158" s="23">
        <v>2.08589</v>
      </c>
    </row>
    <row r="159" spans="1:11" ht="15.75" thickBot="1" x14ac:dyDescent="0.3">
      <c r="A159" s="511"/>
      <c r="B159" s="459"/>
      <c r="C159" s="514"/>
      <c r="D159" s="473"/>
      <c r="E159" s="476"/>
      <c r="F159" s="464"/>
      <c r="G159" s="466"/>
      <c r="H159" s="460"/>
      <c r="I159" s="460"/>
      <c r="J159" s="78" t="s">
        <v>242</v>
      </c>
      <c r="K159" s="23">
        <v>2.1538400000000002</v>
      </c>
    </row>
    <row r="160" spans="1:11" x14ac:dyDescent="0.25">
      <c r="A160" s="511"/>
      <c r="B160" s="459"/>
      <c r="C160" s="514"/>
      <c r="D160" s="473"/>
      <c r="E160" s="476"/>
      <c r="F160" s="464"/>
      <c r="G160" s="457" t="s">
        <v>240</v>
      </c>
      <c r="H160" s="467">
        <f t="shared" ref="H160" si="23">SUM(K160:K161)</f>
        <v>3.17997</v>
      </c>
      <c r="I160" s="467">
        <f>102.824/1000</f>
        <v>0.102824</v>
      </c>
      <c r="J160" s="76" t="s">
        <v>243</v>
      </c>
      <c r="K160" s="23">
        <v>1.9717800000000001</v>
      </c>
    </row>
    <row r="161" spans="1:11" ht="15.75" thickBot="1" x14ac:dyDescent="0.3">
      <c r="A161" s="511"/>
      <c r="B161" s="459"/>
      <c r="C161" s="514"/>
      <c r="D161" s="474"/>
      <c r="E161" s="477"/>
      <c r="F161" s="465"/>
      <c r="G161" s="458"/>
      <c r="H161" s="460"/>
      <c r="I161" s="459"/>
      <c r="J161" s="79" t="s">
        <v>244</v>
      </c>
      <c r="K161" s="32">
        <v>1.2081900000000001</v>
      </c>
    </row>
    <row r="162" spans="1:11" ht="15.75" thickBot="1" x14ac:dyDescent="0.3">
      <c r="A162" s="512"/>
      <c r="B162" s="460"/>
      <c r="C162" s="515"/>
      <c r="D162" s="110" t="s">
        <v>428</v>
      </c>
      <c r="E162" s="147">
        <f>SUM(E153)</f>
        <v>14.401050000000001</v>
      </c>
      <c r="F162" s="147">
        <f>SUM(F153)</f>
        <v>0.18256700000000001</v>
      </c>
      <c r="G162" s="136"/>
      <c r="H162" s="137">
        <f>SUM(H153:H161)</f>
        <v>13.878440000000001</v>
      </c>
      <c r="I162" s="137">
        <f>SUM(I153:I161)</f>
        <v>0.41129599999999999</v>
      </c>
      <c r="J162" s="100"/>
      <c r="K162" s="143">
        <f>SUM(K153:K161)</f>
        <v>14.401050000000001</v>
      </c>
    </row>
    <row r="163" spans="1:11" ht="15.75" thickBot="1" x14ac:dyDescent="0.3">
      <c r="A163" s="292" t="s">
        <v>424</v>
      </c>
      <c r="B163" s="293">
        <f>SUM(B22)</f>
        <v>228.04170500000004</v>
      </c>
      <c r="C163" s="134">
        <f>SUM(C22)</f>
        <v>2.4781</v>
      </c>
      <c r="D163" s="243"/>
      <c r="E163" s="280">
        <f>SUM(E92,E127,E150,E162)</f>
        <v>224.62447500000002</v>
      </c>
      <c r="F163" s="147">
        <f>SUM(F92,F127,F150,F162)</f>
        <v>4.2921079999999998</v>
      </c>
      <c r="G163" s="276"/>
      <c r="H163" s="277">
        <f>SUM(H92,H127,H130,H150,H152,H162)</f>
        <v>152.21396300000001</v>
      </c>
      <c r="I163" s="277">
        <f>SUM(I92,I127,I130,I150,I152,I162)</f>
        <v>36.365525999999996</v>
      </c>
      <c r="J163" s="96"/>
      <c r="K163" s="278">
        <f>SUM(K92,K127,K130,K150,K152,K162)</f>
        <v>228.04170500000004</v>
      </c>
    </row>
    <row r="164" spans="1:11" ht="15.75" thickBot="1" x14ac:dyDescent="0.3">
      <c r="A164" s="281" t="s">
        <v>22</v>
      </c>
      <c r="B164" s="155">
        <f>SUM(B21,B163)</f>
        <v>257.49182300000001</v>
      </c>
      <c r="C164" s="153">
        <f>SUM(C4,C163)</f>
        <v>4.1067799999999997</v>
      </c>
      <c r="D164" s="53"/>
      <c r="E164" s="155">
        <f>SUM(E21,E163)</f>
        <v>254.07459300000002</v>
      </c>
      <c r="F164" s="152">
        <f>SUM(F21,F163)</f>
        <v>4.6367129999999994</v>
      </c>
      <c r="G164" s="52"/>
      <c r="H164" s="155">
        <f>SUM(H21,H163)</f>
        <v>178.863021</v>
      </c>
      <c r="I164" s="152">
        <f>SUM(I21,I163)</f>
        <v>37.273105999999999</v>
      </c>
      <c r="J164" s="291"/>
      <c r="K164" s="294">
        <f>SUM(K21,K163)</f>
        <v>257.49182300000001</v>
      </c>
    </row>
    <row r="165" spans="1:11" ht="15.75" thickBot="1" x14ac:dyDescent="0.3"/>
    <row r="166" spans="1:11" ht="15.75" thickBot="1" x14ac:dyDescent="0.3">
      <c r="A166" t="s">
        <v>466</v>
      </c>
      <c r="B166">
        <v>373.9</v>
      </c>
      <c r="F166" s="157" t="s">
        <v>511</v>
      </c>
      <c r="G166" s="156">
        <f>COUNTIF(G4:G161,"TC*")</f>
        <v>53</v>
      </c>
      <c r="J166" s="112" t="s">
        <v>245</v>
      </c>
      <c r="K166" s="156">
        <f>COUNTIF(J4:J161,"*FC*")</f>
        <v>150</v>
      </c>
    </row>
    <row r="167" spans="1:11" ht="15.75" thickBot="1" x14ac:dyDescent="0.3">
      <c r="F167" s="157" t="s">
        <v>522</v>
      </c>
      <c r="G167">
        <f>COUNTIF(G4:G19,"TC*")</f>
        <v>6</v>
      </c>
      <c r="J167" s="112" t="s">
        <v>524</v>
      </c>
      <c r="K167">
        <f>COUNTIF(J4:J19,"*FC*")</f>
        <v>15</v>
      </c>
    </row>
    <row r="168" spans="1:11" ht="15.75" thickBot="1" x14ac:dyDescent="0.3">
      <c r="F168" s="157" t="s">
        <v>523</v>
      </c>
      <c r="G168">
        <f>COUNTIF(G22:G161,"TC*")</f>
        <v>47</v>
      </c>
      <c r="J168" s="112" t="s">
        <v>525</v>
      </c>
      <c r="K168">
        <f>COUNTIF(J22:J161,"*FC*")</f>
        <v>135</v>
      </c>
    </row>
    <row r="169" spans="1:11" ht="15.75" thickBot="1" x14ac:dyDescent="0.3"/>
    <row r="170" spans="1:11" ht="15.75" thickBot="1" x14ac:dyDescent="0.3">
      <c r="J170" s="160" t="s">
        <v>246</v>
      </c>
      <c r="K170" s="159">
        <f>MAX(K4:K9,K11:K19,K22:K91,K93:K126,K128:K129,K151,K153:K161)</f>
        <v>4.8437900000000003</v>
      </c>
    </row>
    <row r="171" spans="1:11" ht="15.75" thickBot="1" x14ac:dyDescent="0.3">
      <c r="J171" s="161" t="s">
        <v>247</v>
      </c>
      <c r="K171" s="158">
        <f>MIN(K4:K9,K11:K19,K22:K91,K93:K126,K128:K129,K151,K153:K161)</f>
        <v>0.18085999999999999</v>
      </c>
    </row>
    <row r="172" spans="1:11" x14ac:dyDescent="0.25">
      <c r="K172" s="9">
        <f>AVERAGE(K4:K9,K11:K19,K22:K91,K93:K126,K128:K129,K131:K149,K151,K153:K161)</f>
        <v>1.7166121533333329</v>
      </c>
    </row>
  </sheetData>
  <mergeCells count="199">
    <mergeCell ref="U12:U13"/>
    <mergeCell ref="H57:H58"/>
    <mergeCell ref="G47:G48"/>
    <mergeCell ref="I32:I33"/>
    <mergeCell ref="H35:H36"/>
    <mergeCell ref="I35:I36"/>
    <mergeCell ref="H38:H39"/>
    <mergeCell ref="I38:I39"/>
    <mergeCell ref="H41:H42"/>
    <mergeCell ref="I41:I42"/>
    <mergeCell ref="H44:H45"/>
    <mergeCell ref="I44:I45"/>
    <mergeCell ref="H47:H48"/>
    <mergeCell ref="I47:I48"/>
    <mergeCell ref="H32:H33"/>
    <mergeCell ref="G32:G33"/>
    <mergeCell ref="G35:G36"/>
    <mergeCell ref="G38:G39"/>
    <mergeCell ref="G41:G42"/>
    <mergeCell ref="T28:T29"/>
    <mergeCell ref="T30:T32"/>
    <mergeCell ref="R28:S28"/>
    <mergeCell ref="P28:Q28"/>
    <mergeCell ref="H53:H54"/>
    <mergeCell ref="J2:K2"/>
    <mergeCell ref="G2:I2"/>
    <mergeCell ref="G4:G5"/>
    <mergeCell ref="G6:G7"/>
    <mergeCell ref="H4:H5"/>
    <mergeCell ref="I4:I5"/>
    <mergeCell ref="G22:G23"/>
    <mergeCell ref="G24:G25"/>
    <mergeCell ref="H24:H25"/>
    <mergeCell ref="H6:H7"/>
    <mergeCell ref="I6:I7"/>
    <mergeCell ref="G11:G12"/>
    <mergeCell ref="H11:H12"/>
    <mergeCell ref="G13:G15"/>
    <mergeCell ref="H13:H15"/>
    <mergeCell ref="G16:G17"/>
    <mergeCell ref="G18:G19"/>
    <mergeCell ref="H16:H17"/>
    <mergeCell ref="H18:H19"/>
    <mergeCell ref="A2:C2"/>
    <mergeCell ref="D2:F2"/>
    <mergeCell ref="D4:D9"/>
    <mergeCell ref="E4:E9"/>
    <mergeCell ref="F4:F9"/>
    <mergeCell ref="I26:I27"/>
    <mergeCell ref="A4:A20"/>
    <mergeCell ref="B4:B20"/>
    <mergeCell ref="C4:C20"/>
    <mergeCell ref="A22:A162"/>
    <mergeCell ref="B22:B162"/>
    <mergeCell ref="C22:C162"/>
    <mergeCell ref="G49:G50"/>
    <mergeCell ref="H49:H50"/>
    <mergeCell ref="I49:I50"/>
    <mergeCell ref="G51:G52"/>
    <mergeCell ref="H51:H52"/>
    <mergeCell ref="I51:I52"/>
    <mergeCell ref="G44:G45"/>
    <mergeCell ref="G55:G56"/>
    <mergeCell ref="G57:G58"/>
    <mergeCell ref="I55:I56"/>
    <mergeCell ref="I57:I58"/>
    <mergeCell ref="H55:H56"/>
    <mergeCell ref="D11:D19"/>
    <mergeCell ref="E11:E19"/>
    <mergeCell ref="F11:F19"/>
    <mergeCell ref="I24:I25"/>
    <mergeCell ref="G26:G27"/>
    <mergeCell ref="H26:H27"/>
    <mergeCell ref="T12:T13"/>
    <mergeCell ref="D22:D91"/>
    <mergeCell ref="E22:E91"/>
    <mergeCell ref="F22:F91"/>
    <mergeCell ref="H80:H81"/>
    <mergeCell ref="I80:I81"/>
    <mergeCell ref="H82:H83"/>
    <mergeCell ref="I82:I83"/>
    <mergeCell ref="H84:H85"/>
    <mergeCell ref="I84:I85"/>
    <mergeCell ref="G86:G87"/>
    <mergeCell ref="H86:H87"/>
    <mergeCell ref="I86:I87"/>
    <mergeCell ref="G76:G77"/>
    <mergeCell ref="G80:G81"/>
    <mergeCell ref="G82:G83"/>
    <mergeCell ref="G84:G85"/>
    <mergeCell ref="G53:G54"/>
    <mergeCell ref="O12:O13"/>
    <mergeCell ref="P12:P13"/>
    <mergeCell ref="H29:H30"/>
    <mergeCell ref="I29:I30"/>
    <mergeCell ref="I16:I17"/>
    <mergeCell ref="H22:H23"/>
    <mergeCell ref="I22:I23"/>
    <mergeCell ref="I11:I12"/>
    <mergeCell ref="I13:I15"/>
    <mergeCell ref="I18:I19"/>
    <mergeCell ref="S12:S13"/>
    <mergeCell ref="O28:O29"/>
    <mergeCell ref="P4:U4"/>
    <mergeCell ref="I53:I54"/>
    <mergeCell ref="G67:G68"/>
    <mergeCell ref="H67:H68"/>
    <mergeCell ref="I67:I68"/>
    <mergeCell ref="G70:G71"/>
    <mergeCell ref="H70:H71"/>
    <mergeCell ref="I70:I71"/>
    <mergeCell ref="I61:I62"/>
    <mergeCell ref="I63:I64"/>
    <mergeCell ref="I65:I66"/>
    <mergeCell ref="G61:G62"/>
    <mergeCell ref="G63:G64"/>
    <mergeCell ref="G65:G66"/>
    <mergeCell ref="H61:H62"/>
    <mergeCell ref="H63:H64"/>
    <mergeCell ref="H65:H66"/>
    <mergeCell ref="G59:G60"/>
    <mergeCell ref="H59:H60"/>
    <mergeCell ref="I59:I60"/>
    <mergeCell ref="G29:G30"/>
    <mergeCell ref="Q12:R12"/>
    <mergeCell ref="G78:G79"/>
    <mergeCell ref="G72:G73"/>
    <mergeCell ref="G74:G75"/>
    <mergeCell ref="H72:H73"/>
    <mergeCell ref="I72:I73"/>
    <mergeCell ref="H74:H75"/>
    <mergeCell ref="I74:I75"/>
    <mergeCell ref="H76:H77"/>
    <mergeCell ref="I76:I77"/>
    <mergeCell ref="H78:H79"/>
    <mergeCell ref="I78:I79"/>
    <mergeCell ref="I94:I95"/>
    <mergeCell ref="G97:G98"/>
    <mergeCell ref="H97:H98"/>
    <mergeCell ref="I97:I98"/>
    <mergeCell ref="G100:G101"/>
    <mergeCell ref="H100:H101"/>
    <mergeCell ref="I100:I101"/>
    <mergeCell ref="G89:G90"/>
    <mergeCell ref="H89:H90"/>
    <mergeCell ref="I89:I90"/>
    <mergeCell ref="D93:D126"/>
    <mergeCell ref="E93:E126"/>
    <mergeCell ref="F93:F126"/>
    <mergeCell ref="G128:G129"/>
    <mergeCell ref="H128:H129"/>
    <mergeCell ref="G131:G133"/>
    <mergeCell ref="H131:H133"/>
    <mergeCell ref="I131:I133"/>
    <mergeCell ref="D131:D149"/>
    <mergeCell ref="E131:E149"/>
    <mergeCell ref="G121:G122"/>
    <mergeCell ref="H121:H122"/>
    <mergeCell ref="I121:I122"/>
    <mergeCell ref="G124:G125"/>
    <mergeCell ref="H124:H125"/>
    <mergeCell ref="I124:I125"/>
    <mergeCell ref="G103:G104"/>
    <mergeCell ref="H103:H104"/>
    <mergeCell ref="I103:I104"/>
    <mergeCell ref="G106:G107"/>
    <mergeCell ref="H106:H107"/>
    <mergeCell ref="I106:I107"/>
    <mergeCell ref="G94:G95"/>
    <mergeCell ref="H94:H95"/>
    <mergeCell ref="D153:D161"/>
    <mergeCell ref="E153:E161"/>
    <mergeCell ref="F153:F161"/>
    <mergeCell ref="G154:G155"/>
    <mergeCell ref="H154:H155"/>
    <mergeCell ref="G156:G157"/>
    <mergeCell ref="I154:I155"/>
    <mergeCell ref="H156:H157"/>
    <mergeCell ref="I156:I157"/>
    <mergeCell ref="G158:G159"/>
    <mergeCell ref="H158:H159"/>
    <mergeCell ref="I158:I159"/>
    <mergeCell ref="G145:G146"/>
    <mergeCell ref="H145:H146"/>
    <mergeCell ref="I145:I146"/>
    <mergeCell ref="I128:I129"/>
    <mergeCell ref="F131:F149"/>
    <mergeCell ref="G135:G137"/>
    <mergeCell ref="G160:G161"/>
    <mergeCell ref="H160:H161"/>
    <mergeCell ref="I160:I161"/>
    <mergeCell ref="H135:H137"/>
    <mergeCell ref="I135:I137"/>
    <mergeCell ref="G139:G140"/>
    <mergeCell ref="H139:H140"/>
    <mergeCell ref="I139:I140"/>
    <mergeCell ref="G142:G143"/>
    <mergeCell ref="H142:H143"/>
    <mergeCell ref="I142:I143"/>
  </mergeCells>
  <pageMargins left="0.7" right="0.7" top="0.75" bottom="0.75" header="0.3" footer="0.3"/>
  <pageSetup paperSize="9" orientation="portrait" r:id="rId1"/>
  <ignoredErrors>
    <ignoredError sqref="H29:H30 E5:H9 E4 H4 H11 H13 H22:H26 H32 H35 H38 H41:H45 H47 H49:H54 H59:H68 H70:H86 H89 H94 H97:H101 H103 H121 H106 H128 H131 H124:H126 H16:H19 H135:H146 K150 H154:H155 H156:H161 H55:H58" formulaRange="1"/>
    <ignoredError sqref="G164 J164" evalError="1"/>
    <ignoredError sqref="R1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CWR</vt:lpstr>
      <vt:lpstr>Supply</vt:lpstr>
      <vt:lpstr>Design of pump</vt:lpstr>
      <vt:lpstr>O&amp;M Costs of pump</vt:lpstr>
      <vt:lpstr>Area+TU1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KRJ</dc:creator>
  <cp:lastModifiedBy>user</cp:lastModifiedBy>
  <dcterms:created xsi:type="dcterms:W3CDTF">2012-11-16T13:34:10Z</dcterms:created>
  <dcterms:modified xsi:type="dcterms:W3CDTF">2018-12-09T13:09:54Z</dcterms:modified>
</cp:coreProperties>
</file>